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arsa\Downloads\"/>
    </mc:Choice>
  </mc:AlternateContent>
  <xr:revisionPtr revIDLastSave="0" documentId="8_{063E7B47-C6C9-471B-A44F-9316388AD8EB}" xr6:coauthVersionLast="47" xr6:coauthVersionMax="47" xr10:uidLastSave="{00000000-0000-0000-0000-000000000000}"/>
  <bookViews>
    <workbookView xWindow="-108" yWindow="-108" windowWidth="23256" windowHeight="12456" tabRatio="986" activeTab="12" xr2:uid="{1A65ED53-123F-4C2D-8DD8-83CBA9B54009}"/>
  </bookViews>
  <sheets>
    <sheet name="Kopie listu 2006 a st. dospělí " sheetId="4" r:id="rId1"/>
    <sheet name="Kopie listu 2007-2008 junioři -" sheetId="6" r:id="rId2"/>
    <sheet name="Kopie listu 2009-2010 dorostenc" sheetId="8" r:id="rId3"/>
    <sheet name="Kopie listu 2009-2010 dorostenk" sheetId="10" r:id="rId4"/>
    <sheet name="Kopie listu 2011-2012 str.žc. -" sheetId="12" r:id="rId5"/>
    <sheet name="Kopie listu 2011-2012 str.žk. -" sheetId="14" r:id="rId6"/>
    <sheet name="Kopie listu 2013-2014 ml.žc. - " sheetId="16" r:id="rId7"/>
    <sheet name="Kopie listu 2013-2014 ml.žk. - " sheetId="18" r:id="rId8"/>
    <sheet name="Kopie listu 2015-2016 st.př.hoš" sheetId="20" r:id="rId9"/>
    <sheet name="Kopie listu 2015-2016 st.př.dív" sheetId="24" r:id="rId10"/>
    <sheet name="Kopie listu 2017-2018 př.hoši -" sheetId="22" r:id="rId11"/>
    <sheet name="Kopie listu 2017-2018 př.dívky " sheetId="1" r:id="rId12"/>
    <sheet name="Kopie listu hoši 2019 a ml. - O" sheetId="27" r:id="rId13"/>
    <sheet name="Kopie listu dívky 2019 a ml. - " sheetId="29" r:id="rId14"/>
  </sheets>
  <definedNames>
    <definedName name="_xlnm._FilterDatabase" localSheetId="0" hidden="1">'Kopie listu 2006 a st. dospělí '!$A$1:$G$15</definedName>
    <definedName name="_xlnm._FilterDatabase" localSheetId="2" hidden="1">'Kopie listu 2009-2010 dorostenc'!$A$1:$G$9</definedName>
    <definedName name="_xlnm._FilterDatabase" localSheetId="3" hidden="1">'Kopie listu 2009-2010 dorostenk'!$A$1:$G$999</definedName>
    <definedName name="_xlnm._FilterDatabase" localSheetId="4" hidden="1">'Kopie listu 2011-2012 str.žc. -'!$A$1:$G$19</definedName>
    <definedName name="_xlnm._FilterDatabase" localSheetId="5" hidden="1">'Kopie listu 2011-2012 str.žk. -'!$A$1:$G$22</definedName>
    <definedName name="_xlnm._FilterDatabase" localSheetId="6" hidden="1">'Kopie listu 2013-2014 ml.žc. - '!$A$1:$G$26</definedName>
    <definedName name="_xlnm._FilterDatabase" localSheetId="7" hidden="1">'Kopie listu 2013-2014 ml.žk. - '!$A$1:$G$54</definedName>
    <definedName name="_xlnm._FilterDatabase" localSheetId="9" hidden="1">'Kopie listu 2015-2016 st.př.dív'!$A$1:$G$29</definedName>
    <definedName name="_xlnm._FilterDatabase" localSheetId="8" hidden="1">'Kopie listu 2015-2016 st.př.hoš'!$A$1:$G$30</definedName>
    <definedName name="_xlnm._FilterDatabase" localSheetId="11" hidden="1">'Kopie listu 2017-2018 př.dívky '!$A$1:$J$26</definedName>
    <definedName name="_xlnm._FilterDatabase" localSheetId="10" hidden="1">'Kopie listu 2017-2018 př.hoši -'!$A$1:$G$25</definedName>
    <definedName name="_xlnm._FilterDatabase" localSheetId="13" hidden="1">'Kopie listu dívky 2019 a ml. - '!$A$1:$X$993</definedName>
    <definedName name="_xlnm._FilterDatabase" localSheetId="12" hidden="1">'Kopie listu hoši 2019 a ml. - O'!$A$2:$G$20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7" l="1"/>
  <c r="D17" i="27"/>
  <c r="C17" i="27"/>
  <c r="B17" i="27"/>
  <c r="A17" i="27"/>
  <c r="D15" i="27"/>
  <c r="C15" i="27"/>
  <c r="B15" i="27"/>
  <c r="A15" i="27"/>
  <c r="E14" i="27"/>
  <c r="D14" i="27"/>
  <c r="C14" i="27"/>
  <c r="B14" i="27"/>
  <c r="A14" i="27"/>
  <c r="E13" i="27"/>
  <c r="D13" i="27"/>
  <c r="C13" i="27"/>
  <c r="B13" i="27"/>
  <c r="A13" i="27"/>
  <c r="E12" i="27"/>
  <c r="D12" i="27"/>
  <c r="C12" i="27"/>
  <c r="B12" i="27"/>
  <c r="A12" i="27"/>
  <c r="E11" i="27"/>
  <c r="D11" i="27"/>
  <c r="C11" i="27"/>
  <c r="B11" i="27"/>
  <c r="A11" i="27"/>
  <c r="E10" i="27"/>
  <c r="D10" i="27"/>
  <c r="C10" i="27"/>
  <c r="B10" i="27"/>
  <c r="E9" i="27"/>
  <c r="D9" i="27"/>
  <c r="C9" i="27"/>
  <c r="B9" i="27"/>
  <c r="A9" i="27"/>
  <c r="E7" i="27"/>
  <c r="D7" i="27"/>
  <c r="C7" i="27"/>
  <c r="B7" i="27"/>
  <c r="A7" i="27"/>
  <c r="E6" i="27"/>
  <c r="D6" i="27"/>
  <c r="C6" i="27"/>
  <c r="B6" i="27"/>
  <c r="A6" i="27"/>
  <c r="E5" i="27"/>
  <c r="D5" i="27"/>
  <c r="C5" i="27"/>
  <c r="B5" i="27"/>
  <c r="A5" i="27"/>
  <c r="E4" i="27"/>
  <c r="D4" i="27"/>
  <c r="C4" i="27"/>
  <c r="B4" i="27"/>
  <c r="A4" i="27"/>
  <c r="E3" i="27"/>
  <c r="D3" i="27"/>
  <c r="C3" i="27"/>
  <c r="B3" i="27"/>
  <c r="A3" i="27"/>
  <c r="E9" i="12"/>
  <c r="D9" i="12"/>
  <c r="C9" i="12"/>
  <c r="B9" i="12"/>
  <c r="A9" i="12"/>
  <c r="E8" i="12"/>
  <c r="D8" i="12"/>
  <c r="C8" i="12"/>
  <c r="B8" i="12"/>
  <c r="A8" i="12"/>
  <c r="E7" i="12"/>
  <c r="D7" i="12"/>
  <c r="C7" i="12"/>
  <c r="B7" i="12"/>
  <c r="A7" i="12"/>
  <c r="E6" i="12"/>
  <c r="D6" i="12"/>
  <c r="C6" i="12"/>
  <c r="B6" i="12"/>
  <c r="A6" i="12"/>
  <c r="E5" i="12"/>
  <c r="D5" i="12"/>
  <c r="C5" i="12"/>
  <c r="B5" i="12"/>
  <c r="A5" i="12"/>
  <c r="E4" i="12"/>
  <c r="D4" i="12"/>
  <c r="C4" i="12"/>
  <c r="B4" i="12"/>
  <c r="A4" i="12"/>
  <c r="E3" i="12"/>
  <c r="D3" i="12"/>
  <c r="C3" i="12"/>
  <c r="B3" i="12"/>
  <c r="A3" i="12"/>
  <c r="E2" i="12"/>
  <c r="D2" i="12"/>
  <c r="C2" i="12"/>
  <c r="B2" i="12"/>
  <c r="A2" i="12"/>
  <c r="E22" i="22"/>
  <c r="D22" i="22"/>
  <c r="C22" i="22"/>
  <c r="B22" i="22"/>
  <c r="A22" i="22"/>
  <c r="E21" i="22"/>
  <c r="D21" i="22"/>
  <c r="C21" i="22"/>
  <c r="B21" i="22"/>
  <c r="A21" i="22"/>
  <c r="E20" i="22"/>
  <c r="D20" i="22"/>
  <c r="C20" i="22"/>
  <c r="B20" i="22"/>
  <c r="A20" i="22"/>
  <c r="E18" i="22"/>
  <c r="D18" i="22"/>
  <c r="C18" i="22"/>
  <c r="B18" i="22"/>
  <c r="A18" i="22"/>
  <c r="E17" i="22"/>
  <c r="D17" i="22"/>
  <c r="C17" i="22"/>
  <c r="B17" i="22"/>
  <c r="A17" i="22"/>
  <c r="E16" i="22"/>
  <c r="D16" i="22"/>
  <c r="C16" i="22"/>
  <c r="B16" i="22"/>
  <c r="A16" i="22"/>
  <c r="E15" i="22"/>
  <c r="D15" i="22"/>
  <c r="C15" i="22"/>
  <c r="B15" i="22"/>
  <c r="A15" i="22"/>
  <c r="E14" i="22"/>
  <c r="D14" i="22"/>
  <c r="C14" i="22"/>
  <c r="B14" i="22"/>
  <c r="A14" i="22"/>
  <c r="D13" i="22"/>
  <c r="C13" i="22"/>
  <c r="B13" i="22"/>
  <c r="A13" i="22"/>
  <c r="E12" i="22"/>
  <c r="D12" i="22"/>
  <c r="C12" i="22"/>
  <c r="B12" i="22"/>
  <c r="A12" i="22"/>
  <c r="E11" i="22"/>
  <c r="D11" i="22"/>
  <c r="C11" i="22"/>
  <c r="B11" i="22"/>
  <c r="A11" i="22"/>
  <c r="D10" i="22"/>
  <c r="C10" i="22"/>
  <c r="B10" i="22"/>
  <c r="A10" i="22"/>
  <c r="E9" i="22"/>
  <c r="D9" i="22"/>
  <c r="C9" i="22"/>
  <c r="B9" i="22"/>
  <c r="A9" i="22"/>
  <c r="E8" i="22"/>
  <c r="D8" i="22"/>
  <c r="C8" i="22"/>
  <c r="B8" i="22"/>
  <c r="A8" i="22"/>
  <c r="E7" i="22"/>
  <c r="D7" i="22"/>
  <c r="C7" i="22"/>
  <c r="B7" i="22"/>
  <c r="A7" i="22"/>
  <c r="E6" i="22"/>
  <c r="D6" i="22"/>
  <c r="C6" i="22"/>
  <c r="B6" i="22"/>
  <c r="A6" i="22"/>
  <c r="E5" i="22"/>
  <c r="D5" i="22"/>
  <c r="C5" i="22"/>
  <c r="B5" i="22"/>
  <c r="A5" i="22"/>
  <c r="E4" i="22"/>
  <c r="D4" i="22"/>
  <c r="C4" i="22"/>
  <c r="B4" i="22"/>
  <c r="A4" i="22"/>
  <c r="E2" i="22"/>
  <c r="D2" i="22"/>
  <c r="C2" i="22"/>
  <c r="B2" i="22"/>
  <c r="A2" i="22"/>
  <c r="B2" i="20"/>
  <c r="A13" i="29"/>
  <c r="B10" i="29"/>
  <c r="B18" i="29"/>
  <c r="D17" i="29"/>
  <c r="A17" i="29"/>
  <c r="B16" i="29"/>
  <c r="C15" i="29"/>
  <c r="B14" i="29"/>
  <c r="C12" i="29"/>
  <c r="E3" i="29"/>
  <c r="D7" i="29"/>
  <c r="C5" i="29"/>
  <c r="E6" i="29"/>
  <c r="A6" i="29"/>
  <c r="C2" i="29"/>
  <c r="A4" i="29"/>
  <c r="C8" i="29"/>
  <c r="C19" i="24"/>
  <c r="D11" i="24"/>
  <c r="E23" i="24"/>
  <c r="C16" i="24"/>
  <c r="E17" i="24"/>
  <c r="C26" i="24"/>
  <c r="D22" i="24"/>
  <c r="A22" i="24"/>
  <c r="D21" i="24"/>
  <c r="A21" i="24"/>
  <c r="C18" i="24"/>
  <c r="C14" i="24"/>
  <c r="B13" i="24"/>
  <c r="D20" i="24"/>
  <c r="A20" i="24"/>
  <c r="B24" i="24"/>
  <c r="D4" i="24"/>
  <c r="A4" i="24"/>
  <c r="C12" i="24"/>
  <c r="E2" i="24"/>
  <c r="C15" i="24"/>
  <c r="B7" i="24"/>
  <c r="D6" i="24"/>
  <c r="B5" i="24"/>
  <c r="E8" i="24"/>
  <c r="D10" i="24"/>
  <c r="A10" i="24"/>
  <c r="C9" i="24"/>
  <c r="E3" i="24"/>
  <c r="A3" i="24"/>
  <c r="C10" i="20"/>
  <c r="C9" i="20"/>
  <c r="C11" i="20"/>
  <c r="D19" i="20"/>
  <c r="A19" i="20"/>
  <c r="B7" i="20"/>
  <c r="C18" i="20"/>
  <c r="C15" i="20"/>
  <c r="E14" i="20"/>
  <c r="D6" i="20"/>
  <c r="A6" i="20"/>
  <c r="C4" i="20"/>
  <c r="E17" i="20"/>
  <c r="D2" i="20"/>
  <c r="A2" i="20"/>
  <c r="D13" i="20"/>
  <c r="A13" i="20"/>
  <c r="B20" i="20"/>
  <c r="C5" i="20"/>
  <c r="E12" i="20"/>
  <c r="C16" i="20"/>
  <c r="C3" i="20"/>
  <c r="D8" i="20"/>
  <c r="A8" i="20"/>
  <c r="B20" i="18"/>
  <c r="D18" i="18"/>
  <c r="A18" i="18"/>
  <c r="B22" i="18"/>
  <c r="D21" i="18"/>
  <c r="A21" i="18"/>
  <c r="B7" i="18"/>
  <c r="C2" i="18"/>
  <c r="B9" i="18"/>
  <c r="B10" i="18"/>
  <c r="E8" i="18"/>
  <c r="D24" i="18"/>
  <c r="A24" i="18"/>
  <c r="D4" i="18"/>
  <c r="A4" i="18"/>
  <c r="B6" i="18"/>
  <c r="C15" i="18"/>
  <c r="E3" i="18"/>
  <c r="B5" i="18"/>
  <c r="D11" i="18"/>
  <c r="A11" i="18"/>
  <c r="C16" i="18"/>
  <c r="C12" i="18"/>
  <c r="E13" i="18"/>
  <c r="B14" i="18"/>
  <c r="E17" i="18"/>
  <c r="D19" i="18"/>
  <c r="A19" i="18"/>
  <c r="D14" i="16"/>
  <c r="A14" i="16"/>
  <c r="B13" i="16"/>
  <c r="D21" i="16"/>
  <c r="A21" i="16"/>
  <c r="B23" i="16"/>
  <c r="D15" i="16"/>
  <c r="A15" i="16"/>
  <c r="B18" i="16"/>
  <c r="D17" i="16"/>
  <c r="A17" i="16"/>
  <c r="B16" i="16"/>
  <c r="D19" i="16"/>
  <c r="A19" i="16"/>
  <c r="C20" i="16"/>
  <c r="B4" i="16"/>
  <c r="E10" i="16"/>
  <c r="E5" i="16"/>
  <c r="A5" i="16"/>
  <c r="B13" i="29"/>
  <c r="C10" i="29"/>
  <c r="C18" i="29"/>
  <c r="E17" i="29"/>
  <c r="C16" i="29"/>
  <c r="D15" i="29"/>
  <c r="A15" i="29"/>
  <c r="C14" i="29"/>
  <c r="D12" i="29"/>
  <c r="A12" i="29"/>
  <c r="B3" i="29"/>
  <c r="E7" i="29"/>
  <c r="A7" i="29"/>
  <c r="D5" i="29"/>
  <c r="A5" i="29"/>
  <c r="B6" i="29"/>
  <c r="B11" i="29"/>
  <c r="D2" i="29"/>
  <c r="A2" i="29"/>
  <c r="B4" i="29"/>
  <c r="D8" i="29"/>
  <c r="A8" i="29"/>
  <c r="D19" i="24"/>
  <c r="E11" i="24"/>
  <c r="A11" i="24"/>
  <c r="B23" i="24"/>
  <c r="D16" i="24"/>
  <c r="A16" i="24"/>
  <c r="B17" i="24"/>
  <c r="D26" i="24"/>
  <c r="A26" i="24"/>
  <c r="B25" i="24"/>
  <c r="E21" i="24"/>
  <c r="D18" i="24"/>
  <c r="A18" i="24"/>
  <c r="D14" i="24"/>
  <c r="A14" i="24"/>
  <c r="C13" i="24"/>
  <c r="E20" i="24"/>
  <c r="C24" i="24"/>
  <c r="E4" i="24"/>
  <c r="D12" i="24"/>
  <c r="B2" i="24"/>
  <c r="D15" i="24"/>
  <c r="A15" i="24"/>
  <c r="C7" i="24"/>
  <c r="E6" i="24"/>
  <c r="A6" i="24"/>
  <c r="C5" i="24"/>
  <c r="B8" i="24"/>
  <c r="E10" i="24"/>
  <c r="D9" i="24"/>
  <c r="B3" i="24"/>
  <c r="D10" i="20"/>
  <c r="D9" i="20"/>
  <c r="D11" i="20"/>
  <c r="E19" i="20"/>
  <c r="C7" i="20"/>
  <c r="D18" i="20"/>
  <c r="D15" i="20"/>
  <c r="B14" i="20"/>
  <c r="E6" i="20"/>
  <c r="D4" i="20"/>
  <c r="B17" i="20"/>
  <c r="E2" i="20"/>
  <c r="E13" i="20"/>
  <c r="C20" i="20"/>
  <c r="D5" i="20"/>
  <c r="A5" i="20"/>
  <c r="B12" i="20"/>
  <c r="D16" i="20"/>
  <c r="A16" i="20"/>
  <c r="D3" i="20"/>
  <c r="E8" i="20"/>
  <c r="C20" i="18"/>
  <c r="E18" i="18"/>
  <c r="C22" i="18"/>
  <c r="E21" i="18"/>
  <c r="C7" i="18"/>
  <c r="D2" i="18"/>
  <c r="A2" i="18"/>
  <c r="C9" i="18"/>
  <c r="C10" i="18"/>
  <c r="B8" i="18"/>
  <c r="E24" i="18"/>
  <c r="C23" i="18"/>
  <c r="E4" i="18"/>
  <c r="C6" i="18"/>
  <c r="D15" i="18"/>
  <c r="A15" i="18"/>
  <c r="B3" i="18"/>
  <c r="C5" i="18"/>
  <c r="E11" i="18"/>
  <c r="D16" i="18"/>
  <c r="A16" i="18"/>
  <c r="D12" i="18"/>
  <c r="B13" i="18"/>
  <c r="C14" i="18"/>
  <c r="B17" i="18"/>
  <c r="E19" i="18"/>
  <c r="C13" i="16"/>
  <c r="E21" i="16"/>
  <c r="C23" i="16"/>
  <c r="E15" i="16"/>
  <c r="C18" i="16"/>
  <c r="E17" i="16"/>
  <c r="C16" i="16"/>
  <c r="E19" i="16"/>
  <c r="D20" i="16"/>
  <c r="A20" i="16"/>
  <c r="C4" i="16"/>
  <c r="B10" i="16"/>
  <c r="B5" i="16"/>
  <c r="C13" i="29"/>
  <c r="D10" i="29"/>
  <c r="D18" i="29"/>
  <c r="A18" i="29"/>
  <c r="B17" i="29"/>
  <c r="D16" i="29"/>
  <c r="A16" i="29"/>
  <c r="D14" i="29"/>
  <c r="A14" i="29"/>
  <c r="C3" i="29"/>
  <c r="B7" i="29"/>
  <c r="E5" i="29"/>
  <c r="C6" i="29"/>
  <c r="C11" i="29"/>
  <c r="E2" i="29"/>
  <c r="C4" i="29"/>
  <c r="E8" i="29"/>
  <c r="A19" i="24"/>
  <c r="C23" i="24"/>
  <c r="E16" i="24"/>
  <c r="C17" i="24"/>
  <c r="E26" i="24"/>
  <c r="B22" i="24"/>
  <c r="C25" i="24"/>
  <c r="B21" i="24"/>
  <c r="E18" i="24"/>
  <c r="E14" i="24"/>
  <c r="D13" i="24"/>
  <c r="A13" i="24"/>
  <c r="B20" i="24"/>
  <c r="D24" i="24"/>
  <c r="A24" i="24"/>
  <c r="B4" i="24"/>
  <c r="E12" i="24"/>
  <c r="A12" i="24"/>
  <c r="C2" i="24"/>
  <c r="E15" i="24"/>
  <c r="D7" i="24"/>
  <c r="B6" i="24"/>
  <c r="D5" i="24"/>
  <c r="A5" i="24"/>
  <c r="C8" i="24"/>
  <c r="B10" i="24"/>
  <c r="E9" i="24"/>
  <c r="A9" i="24"/>
  <c r="C3" i="24"/>
  <c r="E10" i="20"/>
  <c r="A10" i="20"/>
  <c r="A9" i="20"/>
  <c r="A11" i="20"/>
  <c r="B19" i="20"/>
  <c r="D7" i="20"/>
  <c r="A7" i="20"/>
  <c r="A18" i="20"/>
  <c r="A15" i="20"/>
  <c r="C14" i="20"/>
  <c r="B6" i="20"/>
  <c r="E4" i="20"/>
  <c r="A4" i="20"/>
  <c r="C17" i="20"/>
  <c r="B13" i="20"/>
  <c r="D20" i="20"/>
  <c r="E5" i="20"/>
  <c r="C12" i="20"/>
  <c r="E16" i="20"/>
  <c r="E3" i="20"/>
  <c r="A3" i="20"/>
  <c r="B8" i="20"/>
  <c r="D20" i="18"/>
  <c r="B18" i="18"/>
  <c r="D22" i="18"/>
  <c r="A22" i="18"/>
  <c r="B21" i="18"/>
  <c r="D7" i="18"/>
  <c r="A7" i="18"/>
  <c r="D9" i="18"/>
  <c r="A9" i="18"/>
  <c r="D10" i="18"/>
  <c r="C8" i="18"/>
  <c r="B24" i="18"/>
  <c r="D23" i="18"/>
  <c r="A23" i="18"/>
  <c r="B4" i="18"/>
  <c r="D6" i="18"/>
  <c r="E15" i="18"/>
  <c r="C3" i="18"/>
  <c r="D5" i="18"/>
  <c r="B11" i="18"/>
  <c r="E16" i="18"/>
  <c r="E12" i="18"/>
  <c r="A12" i="18"/>
  <c r="C13" i="18"/>
  <c r="D14" i="18"/>
  <c r="A14" i="18"/>
  <c r="C17" i="18"/>
  <c r="B19" i="18"/>
  <c r="B14" i="16"/>
  <c r="D13" i="16"/>
  <c r="A13" i="16"/>
  <c r="B21" i="16"/>
  <c r="D23" i="16"/>
  <c r="A23" i="16"/>
  <c r="B15" i="16"/>
  <c r="D18" i="16"/>
  <c r="A18" i="16"/>
  <c r="B17" i="16"/>
  <c r="D16" i="16"/>
  <c r="A16" i="16"/>
  <c r="B19" i="16"/>
  <c r="E20" i="16"/>
  <c r="D4" i="16"/>
  <c r="A4" i="16"/>
  <c r="C10" i="16"/>
  <c r="C5" i="16"/>
  <c r="D13" i="29"/>
  <c r="A10" i="29"/>
  <c r="C17" i="29"/>
  <c r="E16" i="29"/>
  <c r="B15" i="29"/>
  <c r="B12" i="29"/>
  <c r="D3" i="29"/>
  <c r="A3" i="29"/>
  <c r="C7" i="29"/>
  <c r="B5" i="29"/>
  <c r="D6" i="29"/>
  <c r="D11" i="29"/>
  <c r="A11" i="29"/>
  <c r="B2" i="29"/>
  <c r="D4" i="29"/>
  <c r="B8" i="29"/>
  <c r="B19" i="24"/>
  <c r="C11" i="24"/>
  <c r="D23" i="24"/>
  <c r="A23" i="24"/>
  <c r="B16" i="24"/>
  <c r="D17" i="24"/>
  <c r="A17" i="24"/>
  <c r="B26" i="24"/>
  <c r="C22" i="24"/>
  <c r="D25" i="24"/>
  <c r="A25" i="24"/>
  <c r="C21" i="24"/>
  <c r="B18" i="24"/>
  <c r="B14" i="24"/>
  <c r="E13" i="24"/>
  <c r="C20" i="24"/>
  <c r="E24" i="24"/>
  <c r="C4" i="24"/>
  <c r="B12" i="24"/>
  <c r="D2" i="24"/>
  <c r="A2" i="24"/>
  <c r="B15" i="24"/>
  <c r="E7" i="24"/>
  <c r="A7" i="24"/>
  <c r="C6" i="24"/>
  <c r="E5" i="24"/>
  <c r="D8" i="24"/>
  <c r="A8" i="24"/>
  <c r="C10" i="24"/>
  <c r="B9" i="24"/>
  <c r="D3" i="24"/>
  <c r="B10" i="20"/>
  <c r="B9" i="20"/>
  <c r="B11" i="20"/>
  <c r="C19" i="20"/>
  <c r="E7" i="20"/>
  <c r="B18" i="20"/>
  <c r="B15" i="20"/>
  <c r="D14" i="20"/>
  <c r="A14" i="20"/>
  <c r="C6" i="20"/>
  <c r="B4" i="20"/>
  <c r="D17" i="20"/>
  <c r="A17" i="20"/>
  <c r="C2" i="20"/>
  <c r="C13" i="20"/>
  <c r="E20" i="20"/>
  <c r="A20" i="20"/>
  <c r="B5" i="20"/>
  <c r="D12" i="20"/>
  <c r="A12" i="20"/>
  <c r="B16" i="20"/>
  <c r="B3" i="20"/>
  <c r="C8" i="20"/>
  <c r="A20" i="18"/>
  <c r="C18" i="18"/>
  <c r="E22" i="18"/>
  <c r="C21" i="18"/>
  <c r="E7" i="18"/>
  <c r="B2" i="18"/>
  <c r="E9" i="18"/>
  <c r="E10" i="18"/>
  <c r="A10" i="18"/>
  <c r="D8" i="18"/>
  <c r="A8" i="18"/>
  <c r="C24" i="18"/>
  <c r="E23" i="18"/>
  <c r="C4" i="18"/>
  <c r="E6" i="18"/>
  <c r="A6" i="18"/>
  <c r="B15" i="18"/>
  <c r="D3" i="18"/>
  <c r="A3" i="18"/>
  <c r="A5" i="18"/>
  <c r="C11" i="18"/>
  <c r="B16" i="18"/>
  <c r="B12" i="18"/>
  <c r="D13" i="18"/>
  <c r="A13" i="18"/>
  <c r="E14" i="18"/>
  <c r="D17" i="18"/>
  <c r="A17" i="18"/>
  <c r="C19" i="18"/>
  <c r="C14" i="16"/>
  <c r="E13" i="16"/>
  <c r="C21" i="16"/>
  <c r="E23" i="16"/>
  <c r="C15" i="16"/>
  <c r="E18" i="16"/>
  <c r="C17" i="16"/>
  <c r="E16" i="16"/>
  <c r="C19" i="16"/>
  <c r="B20" i="16"/>
  <c r="E4" i="16"/>
  <c r="D10" i="16"/>
  <c r="A10" i="16"/>
  <c r="D5" i="16"/>
  <c r="D3" i="16"/>
  <c r="A3" i="16"/>
  <c r="B8" i="16"/>
  <c r="D22" i="16"/>
  <c r="A22" i="16"/>
  <c r="B12" i="16"/>
  <c r="D11" i="16"/>
  <c r="A11" i="16"/>
  <c r="B7" i="16"/>
  <c r="E9" i="16"/>
  <c r="E2" i="16"/>
  <c r="D6" i="16"/>
  <c r="A6" i="16"/>
  <c r="D10" i="14"/>
  <c r="A10" i="14"/>
  <c r="C7" i="14"/>
  <c r="E2" i="14"/>
  <c r="A2" i="14"/>
  <c r="B9" i="14"/>
  <c r="D8" i="14"/>
  <c r="A8" i="14"/>
  <c r="C3" i="14"/>
  <c r="E5" i="14"/>
  <c r="D6" i="14"/>
  <c r="A6" i="14"/>
  <c r="C4" i="14"/>
  <c r="C2" i="10"/>
  <c r="E3" i="10"/>
  <c r="C5" i="10"/>
  <c r="E4" i="10"/>
  <c r="D8" i="10"/>
  <c r="A8" i="10"/>
  <c r="C6" i="10"/>
  <c r="B7" i="10"/>
  <c r="B2" i="8"/>
  <c r="E4" i="8"/>
  <c r="A4" i="8"/>
  <c r="C6" i="8"/>
  <c r="C3" i="8"/>
  <c r="E3" i="6"/>
  <c r="D2" i="6"/>
  <c r="A2" i="6"/>
  <c r="B11" i="4"/>
  <c r="B6" i="4"/>
  <c r="D5" i="4"/>
  <c r="E4" i="4"/>
  <c r="B3" i="4"/>
  <c r="C7" i="4"/>
  <c r="C8" i="4"/>
  <c r="B10" i="4"/>
  <c r="D9" i="4"/>
  <c r="A9" i="4"/>
  <c r="E3" i="16"/>
  <c r="C8" i="16"/>
  <c r="E22" i="16"/>
  <c r="C12" i="16"/>
  <c r="E11" i="16"/>
  <c r="C7" i="16"/>
  <c r="B9" i="16"/>
  <c r="B2" i="16"/>
  <c r="E6" i="16"/>
  <c r="E10" i="14"/>
  <c r="D7" i="14"/>
  <c r="B2" i="14"/>
  <c r="C9" i="14"/>
  <c r="E8" i="14"/>
  <c r="D3" i="14"/>
  <c r="B5" i="14"/>
  <c r="E6" i="14"/>
  <c r="D4" i="14"/>
  <c r="A4" i="14"/>
  <c r="B9" i="10"/>
  <c r="D2" i="10"/>
  <c r="A2" i="10"/>
  <c r="B3" i="10"/>
  <c r="D5" i="10"/>
  <c r="A5" i="10"/>
  <c r="B4" i="10"/>
  <c r="E8" i="10"/>
  <c r="D6" i="10"/>
  <c r="A6" i="10"/>
  <c r="C7" i="10"/>
  <c r="C2" i="8"/>
  <c r="E5" i="8"/>
  <c r="A5" i="8"/>
  <c r="B4" i="8"/>
  <c r="A6" i="8"/>
  <c r="A3" i="8"/>
  <c r="A7" i="8"/>
  <c r="B3" i="6"/>
  <c r="E2" i="6"/>
  <c r="B2" i="4"/>
  <c r="C11" i="4"/>
  <c r="C6" i="4"/>
  <c r="E5" i="4"/>
  <c r="A5" i="4"/>
  <c r="B4" i="4"/>
  <c r="C3" i="4"/>
  <c r="D7" i="4"/>
  <c r="A7" i="4"/>
  <c r="D8" i="4"/>
  <c r="A8" i="4"/>
  <c r="C10" i="4"/>
  <c r="E9" i="4"/>
  <c r="B13" i="1"/>
  <c r="D8" i="1"/>
  <c r="A8" i="1"/>
  <c r="B17" i="1"/>
  <c r="C18" i="1"/>
  <c r="E5" i="1"/>
  <c r="D4" i="1"/>
  <c r="A4" i="1"/>
  <c r="C16" i="1"/>
  <c r="E9" i="1"/>
  <c r="D20" i="1"/>
  <c r="A20" i="1"/>
  <c r="C19" i="1"/>
  <c r="E3" i="1"/>
  <c r="C12" i="1"/>
  <c r="D7" i="1"/>
  <c r="A7" i="1"/>
  <c r="B15" i="1"/>
  <c r="E10" i="1"/>
  <c r="D2" i="1"/>
  <c r="A2" i="1"/>
  <c r="C11" i="1"/>
  <c r="B14" i="1"/>
  <c r="E6" i="1"/>
  <c r="C13" i="1"/>
  <c r="E8" i="1"/>
  <c r="B21" i="1"/>
  <c r="C17" i="1"/>
  <c r="D18" i="1"/>
  <c r="A18" i="1"/>
  <c r="B5" i="1"/>
  <c r="E4" i="1"/>
  <c r="D16" i="1"/>
  <c r="B9" i="1"/>
  <c r="E20" i="1"/>
  <c r="D19" i="1"/>
  <c r="B3" i="1"/>
  <c r="D12" i="1"/>
  <c r="A12" i="1"/>
  <c r="C15" i="1"/>
  <c r="B10" i="1"/>
  <c r="E2" i="1"/>
  <c r="D11" i="1"/>
  <c r="A11" i="1"/>
  <c r="C14" i="1"/>
  <c r="B6" i="1"/>
  <c r="D13" i="1"/>
  <c r="A13" i="1"/>
  <c r="B8" i="1"/>
  <c r="C21" i="1"/>
  <c r="D17" i="1"/>
  <c r="A17" i="1"/>
  <c r="C5" i="1"/>
  <c r="B4" i="1"/>
  <c r="E16" i="1"/>
  <c r="A16" i="1"/>
  <c r="C9" i="1"/>
  <c r="B20" i="1"/>
  <c r="E19" i="1"/>
  <c r="A19" i="1"/>
  <c r="C3" i="1"/>
  <c r="E12" i="1"/>
  <c r="B7" i="1"/>
  <c r="D15" i="1"/>
  <c r="A15" i="1"/>
  <c r="C10" i="1"/>
  <c r="B2" i="1"/>
  <c r="E11" i="1"/>
  <c r="D14" i="1"/>
  <c r="A14" i="1"/>
  <c r="C6" i="1"/>
  <c r="C8" i="1"/>
  <c r="D21" i="1"/>
  <c r="A21" i="1"/>
  <c r="B18" i="1"/>
  <c r="D5" i="1"/>
  <c r="A5" i="1"/>
  <c r="C4" i="1"/>
  <c r="B16" i="1"/>
  <c r="D9" i="1"/>
  <c r="A9" i="1"/>
  <c r="C20" i="1"/>
  <c r="B19" i="1"/>
  <c r="D3" i="1"/>
  <c r="A3" i="1"/>
  <c r="B12" i="1"/>
  <c r="C7" i="1"/>
  <c r="E15" i="1"/>
  <c r="D10" i="1"/>
  <c r="A10" i="1"/>
  <c r="C2" i="1"/>
  <c r="B11" i="1"/>
  <c r="E14" i="1"/>
  <c r="D6" i="1"/>
  <c r="A6" i="1"/>
  <c r="B3" i="16"/>
  <c r="D8" i="16"/>
  <c r="A8" i="16"/>
  <c r="B22" i="16"/>
  <c r="D12" i="16"/>
  <c r="A12" i="16"/>
  <c r="B11" i="16"/>
  <c r="D7" i="16"/>
  <c r="C9" i="16"/>
  <c r="C2" i="16"/>
  <c r="B6" i="16"/>
  <c r="B10" i="14"/>
  <c r="E7" i="14"/>
  <c r="A7" i="14"/>
  <c r="C2" i="14"/>
  <c r="D9" i="14"/>
  <c r="B8" i="14"/>
  <c r="E3" i="14"/>
  <c r="A3" i="14"/>
  <c r="C5" i="14"/>
  <c r="B6" i="14"/>
  <c r="E4" i="14"/>
  <c r="C9" i="10"/>
  <c r="E2" i="10"/>
  <c r="C3" i="10"/>
  <c r="E5" i="10"/>
  <c r="C4" i="10"/>
  <c r="B8" i="10"/>
  <c r="E6" i="10"/>
  <c r="D7" i="10"/>
  <c r="A7" i="10"/>
  <c r="A2" i="8"/>
  <c r="B5" i="8"/>
  <c r="C4" i="8"/>
  <c r="E6" i="8"/>
  <c r="E3" i="8"/>
  <c r="B7" i="8"/>
  <c r="C3" i="6"/>
  <c r="B2" i="6"/>
  <c r="C2" i="4"/>
  <c r="D11" i="4"/>
  <c r="D6" i="4"/>
  <c r="A6" i="4"/>
  <c r="B5" i="4"/>
  <c r="C4" i="4"/>
  <c r="D3" i="4"/>
  <c r="E7" i="4"/>
  <c r="E8" i="4"/>
  <c r="D10" i="4"/>
  <c r="B9" i="4"/>
  <c r="C3" i="16"/>
  <c r="E8" i="16"/>
  <c r="C22" i="16"/>
  <c r="E12" i="16"/>
  <c r="C11" i="16"/>
  <c r="E7" i="16"/>
  <c r="A7" i="16"/>
  <c r="D9" i="16"/>
  <c r="A9" i="16"/>
  <c r="D2" i="16"/>
  <c r="A2" i="16"/>
  <c r="C6" i="16"/>
  <c r="C10" i="14"/>
  <c r="B7" i="14"/>
  <c r="D2" i="14"/>
  <c r="E9" i="14"/>
  <c r="A9" i="14"/>
  <c r="C8" i="14"/>
  <c r="B3" i="14"/>
  <c r="D5" i="14"/>
  <c r="A5" i="14"/>
  <c r="C6" i="14"/>
  <c r="B4" i="14"/>
  <c r="D9" i="10"/>
  <c r="B2" i="10"/>
  <c r="D3" i="10"/>
  <c r="A3" i="10"/>
  <c r="B5" i="10"/>
  <c r="D4" i="10"/>
  <c r="A4" i="10"/>
  <c r="C8" i="10"/>
  <c r="B6" i="10"/>
  <c r="E7" i="10"/>
  <c r="E2" i="8"/>
  <c r="C5" i="8"/>
  <c r="B6" i="8"/>
  <c r="B3" i="8"/>
  <c r="C7" i="8"/>
  <c r="A8" i="8"/>
  <c r="D3" i="6"/>
  <c r="A3" i="6"/>
  <c r="C2" i="6"/>
  <c r="D2" i="4"/>
  <c r="A2" i="4"/>
  <c r="A11" i="4"/>
  <c r="C5" i="4"/>
  <c r="D4" i="4"/>
  <c r="A4" i="4"/>
  <c r="E3" i="4"/>
  <c r="A3" i="4"/>
  <c r="B7" i="4"/>
  <c r="B8" i="4"/>
  <c r="E10" i="4"/>
  <c r="A10" i="4"/>
  <c r="C9" i="4"/>
</calcChain>
</file>

<file path=xl/sharedStrings.xml><?xml version="1.0" encoding="utf-8"?>
<sst xmlns="http://schemas.openxmlformats.org/spreadsheetml/2006/main" count="344" uniqueCount="58">
  <si>
    <t>číslo</t>
  </si>
  <si>
    <t>příjmení</t>
  </si>
  <si>
    <t>ročník</t>
  </si>
  <si>
    <t>kategorie</t>
  </si>
  <si>
    <t>klub</t>
  </si>
  <si>
    <t>čas</t>
  </si>
  <si>
    <t>pořadí</t>
  </si>
  <si>
    <t>Mladší přípravka - HOŠI - ročník 2017-2018 (600m)</t>
  </si>
  <si>
    <t>5:02</t>
  </si>
  <si>
    <t>4:30</t>
  </si>
  <si>
    <t>4:45</t>
  </si>
  <si>
    <t>6:16</t>
  </si>
  <si>
    <t>5:37</t>
  </si>
  <si>
    <t>Martin Kubáník</t>
  </si>
  <si>
    <t>Falkon Rokycany</t>
  </si>
  <si>
    <t>1.</t>
  </si>
  <si>
    <t>2.</t>
  </si>
  <si>
    <t>4.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</si>
  <si>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</si>
  <si>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</si>
  <si>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</si>
  <si>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</si>
  <si>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</si>
  <si>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</si>
  <si>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</si>
  <si>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</si>
  <si>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</si>
  <si>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</si>
  <si>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</si>
  <si>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</si>
  <si>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</si>
  <si>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</si>
  <si>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</si>
  <si>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</si>
  <si>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</si>
  <si>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</si>
  <si>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</si>
  <si>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</si>
  <si>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Dorostenci - ročník 2009-2010 (3000m)</t>
  </si>
  <si>
    <t>PH Litice</t>
  </si>
  <si>
    <t>Majda Rajchlová</t>
  </si>
  <si>
    <t>Englová Eliška</t>
  </si>
  <si>
    <t>24.</t>
  </si>
  <si>
    <t>25.</t>
  </si>
  <si>
    <t>Štěpán Engl</t>
  </si>
  <si>
    <t>Nejmladší děti - HOŠI - ročník 2019 a mladší (300m)</t>
  </si>
  <si>
    <t>David Štrunc</t>
  </si>
  <si>
    <t>Svatopluk Železný</t>
  </si>
  <si>
    <t>LK Škoda Plzeň</t>
  </si>
  <si>
    <t>AK Škoda Plzeň</t>
  </si>
  <si>
    <t>Viktorie Železná</t>
  </si>
  <si>
    <t>Nejmladší děti - DÍVKY - ročník 2019 a mladší (300m)</t>
  </si>
  <si>
    <t>DNF</t>
  </si>
  <si>
    <t>Reclino</t>
  </si>
  <si>
    <t>Bezděkov</t>
  </si>
  <si>
    <t>Štrunc Dominik</t>
  </si>
  <si>
    <t>AK ŠKoda Plzeň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</si>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</sst>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d\,m\,yy"/>
    <numFmt numFmtId="167" formatCode="dd\,mm\,yy"/>
  </numFmts>
  <fonts count="16" x14ac:knownFonts="1">
    <font>
      <sz val="10"/>
      <color rgb="FF000000"/>
      <name val="Arial"/>
      <scheme val="minor"/>
    </font>
    <font>
      <sz val="8"/>
      <name val="Arial"/>
    </font>
    <font>
      <sz val="8"/>
      <name val="Arial"/>
      <family val="2"/>
      <charset val="238"/>
    </font>
    <font>
      <sz val="8"/>
      <name val="Arial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  <scheme val="minor"/>
    </font>
    <font>
      <sz val="10"/>
      <color theme="1"/>
      <name val="Arial"/>
      <family val="2"/>
      <charset val="238"/>
      <scheme val="minor"/>
    </font>
    <font>
      <sz val="11"/>
      <color rgb="FF000000"/>
      <name val="Calibri"/>
    </font>
    <font>
      <sz val="11"/>
      <color rgb="FF000000"/>
      <name val="Arial"/>
    </font>
    <font>
      <b/>
      <sz val="10"/>
      <color theme="1"/>
      <name val="Arial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/>
    <xf numFmtId="21" fontId="4" fillId="0" borderId="0" xfId="0" applyNumberFormat="1" applyFont="1"/>
    <xf numFmtId="21" fontId="4" fillId="0" borderId="0" xfId="0" applyNumberFormat="1" applyFont="1" applyAlignment="1"/>
    <xf numFmtId="167" fontId="5" fillId="0" borderId="0" xfId="0" applyNumberFormat="1" applyFont="1" applyAlignment="1"/>
    <xf numFmtId="0" fontId="4" fillId="0" borderId="0" xfId="0" applyFont="1" applyBorder="1" applyAlignment="1"/>
    <xf numFmtId="0" fontId="4" fillId="0" borderId="0" xfId="0" applyFont="1" applyBorder="1"/>
    <xf numFmtId="21" fontId="4" fillId="0" borderId="0" xfId="0" applyNumberFormat="1" applyFont="1" applyBorder="1" applyAlignment="1"/>
    <xf numFmtId="0" fontId="0" fillId="0" borderId="0" xfId="0" applyFont="1" applyBorder="1" applyAlignment="1"/>
    <xf numFmtId="0" fontId="4" fillId="0" borderId="1" xfId="0" applyFont="1" applyBorder="1" applyAlignment="1"/>
    <xf numFmtId="0" fontId="4" fillId="0" borderId="1" xfId="0" applyFont="1" applyBorder="1"/>
    <xf numFmtId="21" fontId="4" fillId="0" borderId="1" xfId="0" applyNumberFormat="1" applyFont="1" applyBorder="1" applyAlignment="1"/>
    <xf numFmtId="0" fontId="4" fillId="2" borderId="1" xfId="0" applyFont="1" applyFill="1" applyBorder="1" applyAlignment="1"/>
    <xf numFmtId="21" fontId="4" fillId="2" borderId="1" xfId="0" applyNumberFormat="1" applyFont="1" applyFill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/>
    <xf numFmtId="0" fontId="4" fillId="0" borderId="6" xfId="0" applyFont="1" applyBorder="1"/>
    <xf numFmtId="0" fontId="4" fillId="0" borderId="5" xfId="0" applyFont="1" applyBorder="1" applyAlignment="1"/>
    <xf numFmtId="0" fontId="4" fillId="0" borderId="6" xfId="0" applyFont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/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21" fontId="4" fillId="2" borderId="8" xfId="0" applyNumberFormat="1" applyFont="1" applyFill="1" applyBorder="1" applyAlignment="1"/>
    <xf numFmtId="0" fontId="4" fillId="2" borderId="9" xfId="0" applyFont="1" applyFill="1" applyBorder="1" applyAlignment="1"/>
    <xf numFmtId="0" fontId="6" fillId="0" borderId="0" xfId="0" applyFont="1" applyBorder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21" fontId="4" fillId="0" borderId="8" xfId="0" applyNumberFormat="1" applyFont="1" applyBorder="1" applyAlignment="1"/>
    <xf numFmtId="0" fontId="4" fillId="0" borderId="9" xfId="0" applyFont="1" applyBorder="1" applyAlignment="1"/>
    <xf numFmtId="0" fontId="7" fillId="0" borderId="1" xfId="0" applyFont="1" applyBorder="1"/>
    <xf numFmtId="21" fontId="7" fillId="0" borderId="1" xfId="0" applyNumberFormat="1" applyFont="1" applyBorder="1" applyAlignment="1"/>
    <xf numFmtId="0" fontId="7" fillId="0" borderId="1" xfId="0" applyFont="1" applyBorder="1" applyAlignment="1"/>
    <xf numFmtId="0" fontId="7" fillId="0" borderId="5" xfId="0" applyFont="1" applyBorder="1"/>
    <xf numFmtId="0" fontId="7" fillId="0" borderId="5" xfId="0" applyFont="1" applyBorder="1" applyAlignment="1"/>
    <xf numFmtId="0" fontId="7" fillId="0" borderId="7" xfId="0" applyFont="1" applyBorder="1" applyAlignment="1"/>
    <xf numFmtId="0" fontId="7" fillId="0" borderId="8" xfId="0" applyFont="1" applyBorder="1" applyAlignment="1"/>
    <xf numFmtId="21" fontId="7" fillId="0" borderId="8" xfId="0" applyNumberFormat="1" applyFont="1" applyBorder="1" applyAlignment="1"/>
    <xf numFmtId="0" fontId="7" fillId="0" borderId="0" xfId="0" applyFont="1" applyBorder="1"/>
    <xf numFmtId="0" fontId="7" fillId="0" borderId="8" xfId="0" applyFont="1" applyBorder="1"/>
    <xf numFmtId="0" fontId="5" fillId="0" borderId="0" xfId="0" applyFont="1" applyBorder="1" applyAlignment="1"/>
    <xf numFmtId="21" fontId="5" fillId="0" borderId="0" xfId="0" applyNumberFormat="1" applyFont="1" applyBorder="1" applyAlignment="1"/>
    <xf numFmtId="0" fontId="8" fillId="0" borderId="0" xfId="0" applyFont="1" applyBorder="1" applyAlignment="1"/>
    <xf numFmtId="21" fontId="8" fillId="3" borderId="0" xfId="0" applyNumberFormat="1" applyFont="1" applyFill="1" applyBorder="1" applyAlignment="1"/>
    <xf numFmtId="0" fontId="9" fillId="0" borderId="0" xfId="0" applyFont="1" applyBorder="1" applyAlignment="1"/>
    <xf numFmtId="0" fontId="8" fillId="3" borderId="0" xfId="0" applyFont="1" applyFill="1" applyBorder="1" applyAlignment="1"/>
    <xf numFmtId="166" fontId="4" fillId="0" borderId="0" xfId="0" applyNumberFormat="1" applyFont="1" applyBorder="1" applyAlignment="1"/>
    <xf numFmtId="21" fontId="5" fillId="0" borderId="1" xfId="0" applyNumberFormat="1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10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20" fontId="4" fillId="0" borderId="1" xfId="0" applyNumberFormat="1" applyFont="1" applyBorder="1" applyAlignment="1"/>
    <xf numFmtId="20" fontId="0" fillId="0" borderId="1" xfId="0" applyNumberFormat="1" applyFont="1" applyBorder="1" applyAlignment="1"/>
    <xf numFmtId="167" fontId="4" fillId="0" borderId="1" xfId="0" applyNumberFormat="1" applyFont="1" applyBorder="1" applyAlignment="1"/>
    <xf numFmtId="20" fontId="4" fillId="0" borderId="8" xfId="0" applyNumberFormat="1" applyFont="1" applyBorder="1" applyAlignment="1"/>
    <xf numFmtId="0" fontId="11" fillId="0" borderId="13" xfId="0" applyFont="1" applyBorder="1" applyAlignment="1"/>
    <xf numFmtId="21" fontId="11" fillId="0" borderId="13" xfId="0" applyNumberFormat="1" applyFont="1" applyBorder="1" applyAlignment="1">
      <alignment horizontal="right"/>
    </xf>
    <xf numFmtId="0" fontId="12" fillId="0" borderId="0" xfId="0" applyFont="1" applyAlignment="1"/>
    <xf numFmtId="0" fontId="13" fillId="0" borderId="0" xfId="0" applyFont="1" applyAlignment="1"/>
    <xf numFmtId="0" fontId="11" fillId="0" borderId="14" xfId="0" applyFont="1" applyBorder="1" applyAlignment="1"/>
    <xf numFmtId="0" fontId="11" fillId="0" borderId="14" xfId="0" applyFont="1" applyBorder="1"/>
    <xf numFmtId="20" fontId="11" fillId="0" borderId="14" xfId="0" applyNumberFormat="1" applyFont="1" applyBorder="1" applyAlignment="1">
      <alignment horizontal="right"/>
    </xf>
    <xf numFmtId="49" fontId="11" fillId="0" borderId="13" xfId="0" applyNumberFormat="1" applyFont="1" applyBorder="1" applyAlignment="1">
      <alignment horizontal="right"/>
    </xf>
    <xf numFmtId="20" fontId="11" fillId="0" borderId="13" xfId="0" applyNumberFormat="1" applyFont="1" applyBorder="1" applyAlignment="1">
      <alignment horizontal="right"/>
    </xf>
    <xf numFmtId="0" fontId="11" fillId="0" borderId="13" xfId="0" applyFont="1" applyBorder="1"/>
    <xf numFmtId="0" fontId="11" fillId="0" borderId="0" xfId="0" applyFont="1" applyAlignment="1">
      <alignment horizontal="right"/>
    </xf>
    <xf numFmtId="0" fontId="13" fillId="0" borderId="13" xfId="0" applyFont="1" applyBorder="1" applyAlignment="1"/>
    <xf numFmtId="21" fontId="13" fillId="3" borderId="13" xfId="0" applyNumberFormat="1" applyFont="1" applyFill="1" applyBorder="1" applyAlignment="1">
      <alignment horizontal="right"/>
    </xf>
    <xf numFmtId="0" fontId="13" fillId="0" borderId="0" xfId="0" applyFont="1" applyBorder="1" applyAlignment="1"/>
    <xf numFmtId="0" fontId="11" fillId="0" borderId="0" xfId="0" applyFont="1" applyBorder="1" applyAlignment="1"/>
    <xf numFmtId="21" fontId="13" fillId="3" borderId="0" xfId="0" applyNumberFormat="1" applyFont="1" applyFill="1" applyBorder="1" applyAlignment="1">
      <alignment horizontal="right"/>
    </xf>
    <xf numFmtId="21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3" fillId="3" borderId="0" xfId="0" applyFont="1" applyFill="1" applyBorder="1" applyAlignment="1">
      <alignment horizontal="right"/>
    </xf>
    <xf numFmtId="49" fontId="11" fillId="0" borderId="0" xfId="0" applyNumberFormat="1" applyFont="1" applyBorder="1" applyAlignment="1">
      <alignment horizontal="right"/>
    </xf>
    <xf numFmtId="167" fontId="11" fillId="0" borderId="0" xfId="0" applyNumberFormat="1" applyFont="1" applyBorder="1" applyAlignment="1"/>
    <xf numFmtId="0" fontId="11" fillId="0" borderId="0" xfId="0" applyFont="1" applyBorder="1"/>
    <xf numFmtId="0" fontId="11" fillId="0" borderId="15" xfId="0" applyFont="1" applyBorder="1" applyAlignment="1"/>
    <xf numFmtId="0" fontId="11" fillId="0" borderId="16" xfId="0" applyFont="1" applyBorder="1" applyAlignment="1"/>
    <xf numFmtId="0" fontId="11" fillId="0" borderId="16" xfId="0" applyFont="1" applyBorder="1" applyAlignment="1">
      <alignment horizontal="right"/>
    </xf>
    <xf numFmtId="0" fontId="11" fillId="0" borderId="17" xfId="0" applyFont="1" applyBorder="1" applyAlignment="1"/>
    <xf numFmtId="0" fontId="11" fillId="0" borderId="18" xfId="0" applyFont="1" applyBorder="1" applyAlignment="1"/>
    <xf numFmtId="0" fontId="11" fillId="0" borderId="19" xfId="0" applyFont="1" applyBorder="1"/>
    <xf numFmtId="0" fontId="13" fillId="0" borderId="20" xfId="0" applyFont="1" applyBorder="1" applyAlignment="1"/>
    <xf numFmtId="0" fontId="13" fillId="0" borderId="21" xfId="0" applyFont="1" applyBorder="1" applyAlignment="1"/>
    <xf numFmtId="0" fontId="11" fillId="0" borderId="20" xfId="0" applyFont="1" applyBorder="1" applyAlignment="1"/>
    <xf numFmtId="0" fontId="11" fillId="0" borderId="22" xfId="0" applyFont="1" applyBorder="1" applyAlignment="1"/>
    <xf numFmtId="0" fontId="11" fillId="0" borderId="23" xfId="0" applyFont="1" applyBorder="1" applyAlignment="1"/>
    <xf numFmtId="21" fontId="11" fillId="0" borderId="23" xfId="0" applyNumberFormat="1" applyFont="1" applyBorder="1" applyAlignment="1">
      <alignment horizontal="right"/>
    </xf>
    <xf numFmtId="0" fontId="11" fillId="0" borderId="24" xfId="0" applyFont="1" applyBorder="1"/>
    <xf numFmtId="0" fontId="4" fillId="0" borderId="8" xfId="0" applyFont="1" applyBorder="1"/>
    <xf numFmtId="0" fontId="11" fillId="0" borderId="2" xfId="0" applyFont="1" applyBorder="1" applyAlignment="1"/>
    <xf numFmtId="0" fontId="11" fillId="0" borderId="3" xfId="0" applyFont="1" applyBorder="1" applyAlignment="1"/>
    <xf numFmtId="0" fontId="14" fillId="0" borderId="3" xfId="0" applyFont="1" applyBorder="1" applyAlignment="1"/>
    <xf numFmtId="0" fontId="11" fillId="0" borderId="5" xfId="0" applyFont="1" applyBorder="1" applyAlignment="1"/>
    <xf numFmtId="0" fontId="11" fillId="0" borderId="1" xfId="0" applyFont="1" applyBorder="1" applyAlignment="1"/>
    <xf numFmtId="0" fontId="11" fillId="0" borderId="1" xfId="0" applyFont="1" applyBorder="1"/>
    <xf numFmtId="21" fontId="11" fillId="0" borderId="1" xfId="0" applyNumberFormat="1" applyFont="1" applyBorder="1" applyAlignment="1">
      <alignment horizontal="right"/>
    </xf>
    <xf numFmtId="21" fontId="11" fillId="0" borderId="0" xfId="0" applyNumberFormat="1" applyFont="1" applyBorder="1" applyAlignment="1"/>
    <xf numFmtId="0" fontId="11" fillId="0" borderId="5" xfId="0" applyFont="1" applyBorder="1"/>
    <xf numFmtId="20" fontId="11" fillId="0" borderId="1" xfId="0" applyNumberFormat="1" applyFont="1" applyBorder="1" applyAlignment="1"/>
    <xf numFmtId="21" fontId="11" fillId="0" borderId="1" xfId="0" applyNumberFormat="1" applyFont="1" applyBorder="1" applyAlignment="1"/>
    <xf numFmtId="0" fontId="11" fillId="0" borderId="7" xfId="0" applyFont="1" applyBorder="1" applyAlignment="1"/>
    <xf numFmtId="0" fontId="11" fillId="0" borderId="8" xfId="0" applyFont="1" applyBorder="1" applyAlignment="1"/>
    <xf numFmtId="0" fontId="11" fillId="0" borderId="8" xfId="0" applyFont="1" applyBorder="1"/>
    <xf numFmtId="21" fontId="11" fillId="0" borderId="8" xfId="0" applyNumberFormat="1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46" fontId="4" fillId="0" borderId="1" xfId="0" applyNumberFormat="1" applyFont="1" applyBorder="1" applyAlignment="1"/>
    <xf numFmtId="166" fontId="4" fillId="0" borderId="1" xfId="0" applyNumberFormat="1" applyFont="1" applyBorder="1" applyAlignment="1"/>
    <xf numFmtId="0" fontId="4" fillId="0" borderId="7" xfId="0" applyFont="1" applyBorder="1"/>
    <xf numFmtId="167" fontId="4" fillId="0" borderId="8" xfId="0" applyNumberFormat="1" applyFont="1" applyBorder="1" applyAlignment="1"/>
    <xf numFmtId="21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21" fontId="5" fillId="0" borderId="3" xfId="0" applyNumberFormat="1" applyFont="1" applyBorder="1" applyAlignment="1"/>
    <xf numFmtId="0" fontId="5" fillId="0" borderId="4" xfId="0" applyFont="1" applyBorder="1" applyAlignment="1">
      <alignment horizontal="center"/>
    </xf>
    <xf numFmtId="0" fontId="1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9" xfId="0" applyFont="1" applyBorder="1" applyAlignment="1">
      <alignment horizontal="center"/>
    </xf>
    <xf numFmtId="0" fontId="10" fillId="0" borderId="2" xfId="0" applyFont="1" applyBorder="1" applyAlignment="1"/>
    <xf numFmtId="0" fontId="10" fillId="0" borderId="4" xfId="0" applyFont="1" applyBorder="1" applyAlignment="1"/>
    <xf numFmtId="0" fontId="7" fillId="0" borderId="0" xfId="0" applyFont="1" applyBorder="1" applyAlignment="1"/>
    <xf numFmtId="21" fontId="7" fillId="0" borderId="0" xfId="0" applyNumberFormat="1" applyFont="1" applyBorder="1" applyAlignment="1"/>
    <xf numFmtId="0" fontId="12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21" fontId="7" fillId="0" borderId="1" xfId="0" applyNumberFormat="1" applyFont="1" applyBorder="1"/>
    <xf numFmtId="0" fontId="0" fillId="0" borderId="5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21" fontId="0" fillId="0" borderId="1" xfId="0" applyNumberFormat="1" applyBorder="1" applyAlignment="1">
      <alignment horizontal="right" wrapText="1"/>
    </xf>
    <xf numFmtId="21" fontId="7" fillId="0" borderId="8" xfId="0" applyNumberFormat="1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21" fontId="11" fillId="0" borderId="1" xfId="0" applyNumberFormat="1" applyFont="1" applyBorder="1"/>
    <xf numFmtId="0" fontId="11" fillId="0" borderId="6" xfId="0" applyFont="1" applyBorder="1"/>
    <xf numFmtId="0" fontId="7" fillId="0" borderId="6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92B14-5BD9-48BF-9F58-BC3D009335F7}">
  <sheetPr>
    <outlinePr summaryBelow="0" summaryRight="0"/>
  </sheetPr>
  <dimension ref="A1:J16"/>
  <sheetViews>
    <sheetView workbookViewId="0"/>
  </sheetViews>
  <sheetFormatPr defaultColWidth="12.77734375" defaultRowHeight="15.75" customHeight="1" x14ac:dyDescent="0.25"/>
  <cols>
    <col min="1" max="1" width="5.88671875" customWidth="1"/>
    <col min="2" max="2" width="17.5546875" customWidth="1"/>
    <col min="3" max="3" width="8.21875" customWidth="1"/>
    <col min="4" max="4" width="34.6640625" customWidth="1"/>
    <col min="5" max="5" width="22" customWidth="1"/>
    <col min="6" max="6" width="12.77734375" customWidth="1"/>
    <col min="7" max="7" width="9" customWidth="1"/>
  </cols>
  <sheetData>
    <row r="1" spans="1:10" ht="13.2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8" t="s">
        <v>6</v>
      </c>
    </row>
    <row r="2" spans="1:10" ht="13.2" x14ac:dyDescent="0.25">
      <c r="A2" s="19">
        <f ca="1">IFERROR(__xludf.DUMMYFUNCTION("""COMPUTED_VALUE"""),436)</f>
        <v>436</v>
      </c>
      <c r="B2" s="12" t="str">
        <f ca="1">IFERROR(__xludf.DUMMYFUNCTION("""COMPUTED_VALUE"""),"Šmíd Jaroslav")</f>
        <v>Šmíd Jaroslav</v>
      </c>
      <c r="C2" s="12">
        <f ca="1">IFERROR(__xludf.DUMMYFUNCTION("""COMPUTED_VALUE"""),1976)</f>
        <v>1976</v>
      </c>
      <c r="D2" s="12" t="str">
        <f ca="1">IFERROR(__xludf.DUMMYFUNCTION("""COMPUTED_VALUE"""),"Dospělí - ročník 2006 a starší (3000m)")</f>
        <v>Dospělí - ročník 2006 a starší (3000m)</v>
      </c>
      <c r="E2" s="12"/>
      <c r="F2" s="13">
        <v>0.50347222222222221</v>
      </c>
      <c r="G2" s="20" t="s">
        <v>15</v>
      </c>
      <c r="H2" s="10"/>
      <c r="I2" s="9"/>
      <c r="J2" s="10"/>
    </row>
    <row r="3" spans="1:10" ht="13.2" x14ac:dyDescent="0.25">
      <c r="A3" s="21">
        <f ca="1">IFERROR(__xludf.DUMMYFUNCTION("""COMPUTED_VALUE"""),219)</f>
        <v>219</v>
      </c>
      <c r="B3" s="11" t="str">
        <f ca="1">IFERROR(__xludf.DUMMYFUNCTION("""COMPUTED_VALUE"""),"Královec Lukáš")</f>
        <v>Královec Lukáš</v>
      </c>
      <c r="C3" s="11">
        <f ca="1">IFERROR(__xludf.DUMMYFUNCTION("""COMPUTED_VALUE"""),1985)</f>
        <v>1985</v>
      </c>
      <c r="D3" s="12" t="str">
        <f ca="1">IFERROR(__xludf.DUMMYFUNCTION("""COMPUTED_VALUE"""),"Dospělí - ročník 2006 a starší (3000m)")</f>
        <v>Dospělí - ročník 2006 a starší (3000m)</v>
      </c>
      <c r="E3" s="11" t="str">
        <f ca="1">IFERROR(__xludf.DUMMYFUNCTION("""COMPUTED_VALUE"""),"LK Škoda Plzeň")</f>
        <v>LK Škoda Plzeň</v>
      </c>
      <c r="F3" s="13">
        <v>0.5083333333333333</v>
      </c>
      <c r="G3" s="22" t="s">
        <v>16</v>
      </c>
      <c r="H3" s="10"/>
      <c r="I3" s="9"/>
      <c r="J3" s="10"/>
    </row>
    <row r="4" spans="1:10" ht="13.2" x14ac:dyDescent="0.25">
      <c r="A4" s="21">
        <f ca="1">IFERROR(__xludf.DUMMYFUNCTION("""COMPUTED_VALUE"""),439)</f>
        <v>439</v>
      </c>
      <c r="B4" s="11" t="str">
        <f ca="1">IFERROR(__xludf.DUMMYFUNCTION("""COMPUTED_VALUE"""),"Jan Vosejpka")</f>
        <v>Jan Vosejpka</v>
      </c>
      <c r="C4" s="11">
        <f ca="1">IFERROR(__xludf.DUMMYFUNCTION("""COMPUTED_VALUE"""),1999)</f>
        <v>1999</v>
      </c>
      <c r="D4" s="11" t="str">
        <f ca="1">IFERROR(__xludf.DUMMYFUNCTION("""COMPUTED_VALUE"""),"Dospělí - ročník 2006 a starší (3000m)")</f>
        <v>Dospělí - ročník 2006 a starší (3000m)</v>
      </c>
      <c r="E4" s="11" t="str">
        <f ca="1">IFERROR(__xludf.DUMMYFUNCTION("""COMPUTED_VALUE"""),"SG Petřín")</f>
        <v>SG Petřín</v>
      </c>
      <c r="F4" s="13">
        <v>0.5131944444444444</v>
      </c>
      <c r="G4" s="20" t="s">
        <v>18</v>
      </c>
      <c r="H4" s="10"/>
      <c r="I4" s="9"/>
      <c r="J4" s="10"/>
    </row>
    <row r="5" spans="1:10" ht="13.2" x14ac:dyDescent="0.25">
      <c r="A5" s="21">
        <f ca="1">IFERROR(__xludf.DUMMYFUNCTION("""COMPUTED_VALUE"""),444)</f>
        <v>444</v>
      </c>
      <c r="B5" s="11" t="str">
        <f ca="1">IFERROR(__xludf.DUMMYFUNCTION("""COMPUTED_VALUE"""),"David Semelka")</f>
        <v>David Semelka</v>
      </c>
      <c r="C5" s="11">
        <f ca="1">IFERROR(__xludf.DUMMYFUNCTION("""COMPUTED_VALUE"""),1986)</f>
        <v>1986</v>
      </c>
      <c r="D5" s="11" t="str">
        <f ca="1">IFERROR(__xludf.DUMMYFUNCTION("""COMPUTED_VALUE"""),"Dospělí - ročník 2006 a starší (3000m)")</f>
        <v>Dospělí - ročník 2006 a starší (3000m)</v>
      </c>
      <c r="E5" s="11" t="str">
        <f ca="1">IFERROR(__xludf.DUMMYFUNCTION("""COMPUTED_VALUE"""),"Plasy")</f>
        <v>Plasy</v>
      </c>
      <c r="F5" s="13">
        <v>0.5180555555555556</v>
      </c>
      <c r="G5" s="22" t="s">
        <v>17</v>
      </c>
      <c r="H5" s="10"/>
      <c r="I5" s="9"/>
      <c r="J5" s="10"/>
    </row>
    <row r="6" spans="1:10" ht="13.2" x14ac:dyDescent="0.25">
      <c r="A6" s="21">
        <f ca="1">IFERROR(__xludf.DUMMYFUNCTION("""COMPUTED_VALUE"""),429)</f>
        <v>429</v>
      </c>
      <c r="B6" s="11" t="str">
        <f ca="1">IFERROR(__xludf.DUMMYFUNCTION("""COMPUTED_VALUE"""),"Daniel Kraus")</f>
        <v>Daniel Kraus</v>
      </c>
      <c r="C6" s="11">
        <f ca="1">IFERROR(__xludf.DUMMYFUNCTION("""COMPUTED_VALUE"""),1978)</f>
        <v>1978</v>
      </c>
      <c r="D6" s="12" t="str">
        <f ca="1">IFERROR(__xludf.DUMMYFUNCTION("""COMPUTED_VALUE"""),"Dospělí - ročník 2006 a starší (3000m)")</f>
        <v>Dospělí - ročník 2006 a starší (3000m)</v>
      </c>
      <c r="E6" s="11"/>
      <c r="F6" s="13">
        <v>0.54166666666666663</v>
      </c>
      <c r="G6" s="20" t="s">
        <v>19</v>
      </c>
      <c r="H6" s="10"/>
      <c r="I6" s="9"/>
      <c r="J6" s="10"/>
    </row>
    <row r="7" spans="1:10" ht="13.2" x14ac:dyDescent="0.25">
      <c r="A7" s="21">
        <f ca="1">IFERROR(__xludf.DUMMYFUNCTION("""COMPUTED_VALUE"""),412)</f>
        <v>412</v>
      </c>
      <c r="B7" s="11" t="str">
        <f ca="1">IFERROR(__xludf.DUMMYFUNCTION("""COMPUTED_VALUE"""),"Jan Ekstein")</f>
        <v>Jan Ekstein</v>
      </c>
      <c r="C7" s="11">
        <f ca="1">IFERROR(__xludf.DUMMYFUNCTION("""COMPUTED_VALUE"""),1983)</f>
        <v>1983</v>
      </c>
      <c r="D7" s="12" t="str">
        <f ca="1">IFERROR(__xludf.DUMMYFUNCTION("""COMPUTED_VALUE"""),"Dospělí - ročník 2006 a starší (3000m)")</f>
        <v>Dospělí - ročník 2006 a starší (3000m)</v>
      </c>
      <c r="E7" s="11" t="str">
        <f ca="1">IFERROR(__xludf.DUMMYFUNCTION("""COMPUTED_VALUE"""),"PH litice")</f>
        <v>PH litice</v>
      </c>
      <c r="F7" s="13">
        <v>0.59097222222222223</v>
      </c>
      <c r="G7" s="22" t="s">
        <v>20</v>
      </c>
      <c r="H7" s="10"/>
      <c r="I7" s="9"/>
      <c r="J7" s="10"/>
    </row>
    <row r="8" spans="1:10" ht="13.2" x14ac:dyDescent="0.25">
      <c r="A8" s="21">
        <f ca="1">IFERROR(__xludf.DUMMYFUNCTION("""COMPUTED_VALUE"""),402)</f>
        <v>402</v>
      </c>
      <c r="B8" s="11" t="str">
        <f ca="1">IFERROR(__xludf.DUMMYFUNCTION("""COMPUTED_VALUE"""),"Jan Vaněk")</f>
        <v>Jan Vaněk</v>
      </c>
      <c r="C8" s="11">
        <f ca="1">IFERROR(__xludf.DUMMYFUNCTION("""COMPUTED_VALUE"""),1980)</f>
        <v>1980</v>
      </c>
      <c r="D8" s="11" t="str">
        <f ca="1">IFERROR(__xludf.DUMMYFUNCTION("""COMPUTED_VALUE"""),"Dospělí - ročník 2006 a starší (3000m)")</f>
        <v>Dospělí - ročník 2006 a starší (3000m)</v>
      </c>
      <c r="E8" s="11" t="str">
        <f ca="1">IFERROR(__xludf.DUMMYFUNCTION("""COMPUTED_VALUE"""),"Biatlon Litice")</f>
        <v>Biatlon Litice</v>
      </c>
      <c r="F8" s="13">
        <v>0.73263888888888884</v>
      </c>
      <c r="G8" s="20" t="s">
        <v>21</v>
      </c>
      <c r="H8" s="10"/>
      <c r="I8" s="9"/>
      <c r="J8" s="10"/>
    </row>
    <row r="9" spans="1:10" ht="13.2" x14ac:dyDescent="0.25">
      <c r="A9" s="21">
        <f ca="1">IFERROR(__xludf.DUMMYFUNCTION("IFERROR(FILTER('Odpovědi formuláře 1'!B:H, 'Odpovědi formuláře 1'!F:F=""Dospělí - ročník 2006 a starší (3000m)""), """")"),446)</f>
        <v>446</v>
      </c>
      <c r="B9" s="11" t="str">
        <f ca="1">IFERROR(__xludf.DUMMYFUNCTION("""COMPUTED_VALUE"""),"Královec Jiří")</f>
        <v>Královec Jiří</v>
      </c>
      <c r="C9" s="12">
        <f ca="1">IFERROR(__xludf.DUMMYFUNCTION("""COMPUTED_VALUE"""),1951)</f>
        <v>1951</v>
      </c>
      <c r="D9" s="12" t="str">
        <f ca="1">IFERROR(__xludf.DUMMYFUNCTION("""COMPUTED_VALUE"""),"Dospělí - ročník 2006 a starší (3000m)")</f>
        <v>Dospělí - ročník 2006 a starší (3000m)</v>
      </c>
      <c r="E9" s="11" t="str">
        <f ca="1">IFERROR(__xludf.DUMMYFUNCTION("""COMPUTED_VALUE"""),"Mílaři Domažlice")</f>
        <v>Mílaři Domažlice</v>
      </c>
      <c r="F9" s="13">
        <v>0.73333333333333328</v>
      </c>
      <c r="G9" s="22" t="s">
        <v>22</v>
      </c>
      <c r="H9" s="10"/>
      <c r="I9" s="9"/>
      <c r="J9" s="10"/>
    </row>
    <row r="10" spans="1:10" ht="13.2" x14ac:dyDescent="0.25">
      <c r="A10" s="23">
        <f ca="1">IFERROR(__xludf.DUMMYFUNCTION("""COMPUTED_VALUE"""),220)</f>
        <v>220</v>
      </c>
      <c r="B10" s="14" t="str">
        <f ca="1">IFERROR(__xludf.DUMMYFUNCTION("""COMPUTED_VALUE"""),"Baxová Jana")</f>
        <v>Baxová Jana</v>
      </c>
      <c r="C10" s="14">
        <f ca="1">IFERROR(__xludf.DUMMYFUNCTION("""COMPUTED_VALUE"""),1974)</f>
        <v>1974</v>
      </c>
      <c r="D10" s="14" t="str">
        <f ca="1">IFERROR(__xludf.DUMMYFUNCTION("""COMPUTED_VALUE"""),"Dospělí - ročník 2006 a starší (3000m)")</f>
        <v>Dospělí - ročník 2006 a starší (3000m)</v>
      </c>
      <c r="E10" s="14" t="str">
        <f ca="1">IFERROR(__xludf.DUMMYFUNCTION("""COMPUTED_VALUE"""),"LK Škoda Plzeň")</f>
        <v>LK Škoda Plzeň</v>
      </c>
      <c r="F10" s="15">
        <v>0.80625000000000002</v>
      </c>
      <c r="G10" s="24" t="s">
        <v>15</v>
      </c>
      <c r="H10" s="10"/>
      <c r="I10" s="9"/>
      <c r="J10" s="10"/>
    </row>
    <row r="11" spans="1:10" ht="13.8" thickBot="1" x14ac:dyDescent="0.3">
      <c r="A11" s="25">
        <f ca="1">IFERROR(__xludf.DUMMYFUNCTION("""COMPUTED_VALUE"""),430)</f>
        <v>430</v>
      </c>
      <c r="B11" s="26" t="str">
        <f ca="1">IFERROR(__xludf.DUMMYFUNCTION("""COMPUTED_VALUE"""),"Karolína Krausová")</f>
        <v>Karolína Krausová</v>
      </c>
      <c r="C11" s="26">
        <f ca="1">IFERROR(__xludf.DUMMYFUNCTION("""COMPUTED_VALUE"""),2006)</f>
        <v>2006</v>
      </c>
      <c r="D11" s="26" t="str">
        <f ca="1">IFERROR(__xludf.DUMMYFUNCTION("""COMPUTED_VALUE"""),"Dospělí - ročník 2006 a starší (3000m)")</f>
        <v>Dospělí - ročník 2006 a starší (3000m)</v>
      </c>
      <c r="E11" s="26"/>
      <c r="F11" s="27">
        <v>0.81944444444444442</v>
      </c>
      <c r="G11" s="28" t="s">
        <v>16</v>
      </c>
      <c r="H11" s="10"/>
      <c r="I11" s="9"/>
      <c r="J11" s="10"/>
    </row>
    <row r="12" spans="1:10" ht="13.2" x14ac:dyDescent="0.25">
      <c r="A12" s="7"/>
      <c r="B12" s="7"/>
      <c r="C12" s="7"/>
      <c r="D12" s="8"/>
      <c r="E12" s="7"/>
      <c r="F12" s="7"/>
      <c r="G12" s="7"/>
      <c r="H12" s="10"/>
      <c r="I12" s="9"/>
      <c r="J12" s="10"/>
    </row>
    <row r="13" spans="1:10" ht="13.2" x14ac:dyDescent="0.25">
      <c r="A13" s="7"/>
      <c r="B13" s="7"/>
      <c r="C13" s="7"/>
      <c r="D13" s="7"/>
      <c r="E13" s="7"/>
      <c r="F13" s="7"/>
      <c r="G13" s="7"/>
      <c r="H13" s="10"/>
      <c r="I13" s="9"/>
      <c r="J13" s="10"/>
    </row>
    <row r="14" spans="1:10" ht="13.2" x14ac:dyDescent="0.25">
      <c r="A14" s="7"/>
      <c r="B14" s="7"/>
      <c r="C14" s="7"/>
      <c r="D14" s="7"/>
      <c r="E14" s="7"/>
      <c r="F14" s="7"/>
      <c r="G14" s="7"/>
      <c r="H14" s="10"/>
      <c r="I14" s="9"/>
      <c r="J14" s="10"/>
    </row>
    <row r="15" spans="1:10" ht="13.2" x14ac:dyDescent="0.25">
      <c r="A15" s="7"/>
      <c r="B15" s="7"/>
      <c r="C15" s="7"/>
      <c r="D15" s="8"/>
      <c r="E15" s="7"/>
      <c r="F15" s="7"/>
      <c r="G15" s="7"/>
      <c r="H15" s="10"/>
      <c r="I15" s="9"/>
      <c r="J15" s="10"/>
    </row>
    <row r="16" spans="1:10" ht="13.2" x14ac:dyDescent="0.25">
      <c r="A16" s="8"/>
      <c r="B16" s="8"/>
      <c r="C16" s="8"/>
      <c r="D16" s="8"/>
      <c r="E16" s="8"/>
      <c r="F16" s="8"/>
      <c r="G16" s="8"/>
      <c r="H16" s="10"/>
      <c r="I16" s="10"/>
      <c r="J16" s="10"/>
    </row>
  </sheetData>
  <phoneticPr fontId="1" type="noConversion"/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BA1B5-BB4B-4281-9582-50D1CC581AC3}">
  <sheetPr>
    <outlinePr summaryBelow="0" summaryRight="0"/>
  </sheetPr>
  <dimension ref="A1:G29"/>
  <sheetViews>
    <sheetView workbookViewId="0">
      <selection activeCell="I10" sqref="I10"/>
    </sheetView>
  </sheetViews>
  <sheetFormatPr defaultColWidth="12.77734375" defaultRowHeight="15.75" customHeight="1" x14ac:dyDescent="0.25"/>
  <cols>
    <col min="1" max="1" width="6.77734375" customWidth="1"/>
    <col min="2" max="2" width="18.21875" customWidth="1"/>
    <col min="3" max="3" width="6.77734375" customWidth="1"/>
    <col min="4" max="4" width="43.88671875" customWidth="1"/>
    <col min="5" max="5" width="23" customWidth="1"/>
    <col min="6" max="6" width="11.77734375" customWidth="1"/>
    <col min="7" max="7" width="6.77734375" customWidth="1"/>
  </cols>
  <sheetData>
    <row r="1" spans="1:7" ht="15.75" customHeight="1" x14ac:dyDescent="0.25">
      <c r="A1" s="56" t="s">
        <v>0</v>
      </c>
      <c r="B1" s="57" t="s">
        <v>1</v>
      </c>
      <c r="C1" s="58" t="s">
        <v>2</v>
      </c>
      <c r="D1" s="58" t="s">
        <v>3</v>
      </c>
      <c r="E1" s="58" t="s">
        <v>4</v>
      </c>
      <c r="F1" s="57" t="s">
        <v>5</v>
      </c>
      <c r="G1" s="59" t="s">
        <v>6</v>
      </c>
    </row>
    <row r="2" spans="1:7" ht="13.2" x14ac:dyDescent="0.25">
      <c r="A2" s="21">
        <f ca="1">IFERROR(__xludf.DUMMYFUNCTION("""COMPUTED_VALUE"""),230)</f>
        <v>230</v>
      </c>
      <c r="B2" s="11" t="str">
        <f ca="1">IFERROR(__xludf.DUMMYFUNCTION("""COMPUTED_VALUE"""),"Magdalena Bubová")</f>
        <v>Magdalena Bubová</v>
      </c>
      <c r="C2" s="11">
        <f ca="1">IFERROR(__xludf.DUMMYFUNCTION("""COMPUTED_VALUE"""),2015)</f>
        <v>2015</v>
      </c>
      <c r="D2" s="12" t="str">
        <f ca="1">IFERROR(__xludf.DUMMYFUNCTION("""COMPUTED_VALUE"""),"Starší přípravka - DÍVKY - ročník 2015-2016 (600m)")</f>
        <v>Starší přípravka - DÍVKY - ročník 2015-2016 (600m)</v>
      </c>
      <c r="E2" s="11" t="str">
        <f ca="1">IFERROR(__xludf.DUMMYFUNCTION("""COMPUTED_VALUE"""),"TJ Baník Stříbro")</f>
        <v>TJ Baník Stříbro</v>
      </c>
      <c r="F2" s="13">
        <v>9.375E-2</v>
      </c>
      <c r="G2" s="61" t="s">
        <v>15</v>
      </c>
    </row>
    <row r="3" spans="1:7" ht="13.2" x14ac:dyDescent="0.25">
      <c r="A3" s="21">
        <f ca="1">IFERROR(__xludf.DUMMYFUNCTION("IFERROR(FILTER('Odpovědi formuláře 1'!B:H, 'Odpovědi formuláře 1'!F:F=""Starší přípravka - DÍVKY - ročník 2015-2016 (600m)""), """")"),141)</f>
        <v>141</v>
      </c>
      <c r="B3" s="11" t="str">
        <f ca="1">IFERROR(__xludf.DUMMYFUNCTION("""COMPUTED_VALUE"""),"Kůstová Laura")</f>
        <v>Kůstová Laura</v>
      </c>
      <c r="C3" s="11">
        <f ca="1">IFERROR(__xludf.DUMMYFUNCTION("""COMPUTED_VALUE"""),2015)</f>
        <v>2015</v>
      </c>
      <c r="D3" s="11" t="str">
        <f ca="1">IFERROR(__xludf.DUMMYFUNCTION("""COMPUTED_VALUE"""),"Starší přípravka - DÍVKY - ročník 2015-2016 (600m)")</f>
        <v>Starší přípravka - DÍVKY - ročník 2015-2016 (600m)</v>
      </c>
      <c r="E3" s="11" t="str">
        <f ca="1">IFERROR(__xludf.DUMMYFUNCTION("""COMPUTED_VALUE"""),"AC Domažlice")</f>
        <v>AC Domažlice</v>
      </c>
      <c r="F3" s="13">
        <v>9.4444444444444442E-2</v>
      </c>
      <c r="G3" s="22" t="s">
        <v>16</v>
      </c>
    </row>
    <row r="4" spans="1:7" ht="13.2" x14ac:dyDescent="0.25">
      <c r="A4" s="21">
        <f ca="1">IFERROR(__xludf.DUMMYFUNCTION("""COMPUTED_VALUE"""),409)</f>
        <v>409</v>
      </c>
      <c r="B4" s="11" t="str">
        <f ca="1">IFERROR(__xludf.DUMMYFUNCTION("""COMPUTED_VALUE"""),"Alena Vošmiková")</f>
        <v>Alena Vošmiková</v>
      </c>
      <c r="C4" s="11">
        <f ca="1">IFERROR(__xludf.DUMMYFUNCTION("""COMPUTED_VALUE"""),2015)</f>
        <v>2015</v>
      </c>
      <c r="D4" s="11" t="str">
        <f ca="1">IFERROR(__xludf.DUMMYFUNCTION("""COMPUTED_VALUE"""),"Starší přípravka - DÍVKY - ročník 2015-2016 (600m)")</f>
        <v>Starší přípravka - DÍVKY - ročník 2015-2016 (600m)</v>
      </c>
      <c r="E4" s="11" t="str">
        <f ca="1">IFERROR(__xludf.DUMMYFUNCTION("""COMPUTED_VALUE"""),"SG Petřín")</f>
        <v>SG Petřín</v>
      </c>
      <c r="F4" s="13">
        <v>9.583333333333334E-2</v>
      </c>
      <c r="G4" s="61" t="s">
        <v>18</v>
      </c>
    </row>
    <row r="5" spans="1:7" ht="13.2" x14ac:dyDescent="0.25">
      <c r="A5" s="21">
        <f ca="1">IFERROR(__xludf.DUMMYFUNCTION("""COMPUTED_VALUE"""),227)</f>
        <v>227</v>
      </c>
      <c r="B5" s="11" t="str">
        <f ca="1">IFERROR(__xludf.DUMMYFUNCTION("""COMPUTED_VALUE"""),"Kateřina Šilhánková")</f>
        <v>Kateřina Šilhánková</v>
      </c>
      <c r="C5" s="11">
        <f ca="1">IFERROR(__xludf.DUMMYFUNCTION("""COMPUTED_VALUE"""),2015)</f>
        <v>2015</v>
      </c>
      <c r="D5" s="11" t="str">
        <f ca="1">IFERROR(__xludf.DUMMYFUNCTION("""COMPUTED_VALUE"""),"Starší přípravka - DÍVKY - ročník 2015-2016 (600m)")</f>
        <v>Starší přípravka - DÍVKY - ročník 2015-2016 (600m)</v>
      </c>
      <c r="E5" s="11" t="str">
        <f ca="1">IFERROR(__xludf.DUMMYFUNCTION("""COMPUTED_VALUE"""),"Aktiv Sport Horšovský Týn")</f>
        <v>Aktiv Sport Horšovský Týn</v>
      </c>
      <c r="F5" s="13">
        <v>9.7222222222222224E-2</v>
      </c>
      <c r="G5" s="22" t="s">
        <v>17</v>
      </c>
    </row>
    <row r="6" spans="1:7" ht="13.2" x14ac:dyDescent="0.25">
      <c r="A6" s="60">
        <f ca="1">IFERROR(__xludf.DUMMYFUNCTION("""COMPUTED_VALUE"""),185)</f>
        <v>185</v>
      </c>
      <c r="B6" s="11" t="str">
        <f ca="1">IFERROR(__xludf.DUMMYFUNCTION("""COMPUTED_VALUE"""),"Kovářová Ella")</f>
        <v>Kovářová Ella</v>
      </c>
      <c r="C6" s="11">
        <f ca="1">IFERROR(__xludf.DUMMYFUNCTION("""COMPUTED_VALUE"""),2015)</f>
        <v>2015</v>
      </c>
      <c r="D6" s="11" t="str">
        <f ca="1">IFERROR(__xludf.DUMMYFUNCTION("""COMPUTED_VALUE"""),"Starší přípravka - DÍVKY - ročník 2015-2016 (600m)")</f>
        <v>Starší přípravka - DÍVKY - ročník 2015-2016 (600m)</v>
      </c>
      <c r="E6" s="11" t="str">
        <f ca="1">IFERROR(__xludf.DUMMYFUNCTION("""COMPUTED_VALUE"""),"AK Škoda Plzeň")</f>
        <v>AK Škoda Plzeň</v>
      </c>
      <c r="F6" s="55">
        <v>9.7916666666666666E-2</v>
      </c>
      <c r="G6" s="61" t="s">
        <v>19</v>
      </c>
    </row>
    <row r="7" spans="1:7" ht="13.2" x14ac:dyDescent="0.25">
      <c r="A7" s="21">
        <f ca="1">IFERROR(__xludf.DUMMYFUNCTION("""COMPUTED_VALUE"""),136)</f>
        <v>136</v>
      </c>
      <c r="B7" s="11" t="str">
        <f ca="1">IFERROR(__xludf.DUMMYFUNCTION("""COMPUTED_VALUE"""),"Křenová Eliška")</f>
        <v>Křenová Eliška</v>
      </c>
      <c r="C7" s="11">
        <f ca="1">IFERROR(__xludf.DUMMYFUNCTION("""COMPUTED_VALUE"""),2015)</f>
        <v>2015</v>
      </c>
      <c r="D7" s="11" t="str">
        <f ca="1">IFERROR(__xludf.DUMMYFUNCTION("""COMPUTED_VALUE"""),"Starší přípravka - DÍVKY - ročník 2015-2016 (600m)")</f>
        <v>Starší přípravka - DÍVKY - ročník 2015-2016 (600m)</v>
      </c>
      <c r="E7" s="11" t="str">
        <f ca="1">IFERROR(__xludf.DUMMYFUNCTION("""COMPUTED_VALUE"""),"TJ Baník Stříbro")</f>
        <v>TJ Baník Stříbro</v>
      </c>
      <c r="F7" s="122">
        <v>9.930555555555555E-2</v>
      </c>
      <c r="G7" s="22" t="s">
        <v>20</v>
      </c>
    </row>
    <row r="8" spans="1:7" ht="13.2" x14ac:dyDescent="0.25">
      <c r="A8" s="60">
        <f ca="1">IFERROR(__xludf.DUMMYFUNCTION("""COMPUTED_VALUE"""),216)</f>
        <v>216</v>
      </c>
      <c r="B8" s="11" t="str">
        <f ca="1">IFERROR(__xludf.DUMMYFUNCTION("""COMPUTED_VALUE"""),"Janoušková Julie")</f>
        <v>Janoušková Julie</v>
      </c>
      <c r="C8" s="12">
        <f ca="1">IFERROR(__xludf.DUMMYFUNCTION("""COMPUTED_VALUE"""),2015)</f>
        <v>2015</v>
      </c>
      <c r="D8" s="11" t="str">
        <f ca="1">IFERROR(__xludf.DUMMYFUNCTION("""COMPUTED_VALUE"""),"Starší přípravka - DÍVKY - ročník 2015-2016 (600m)")</f>
        <v>Starší přípravka - DÍVKY - ročník 2015-2016 (600m)</v>
      </c>
      <c r="E8" s="11" t="str">
        <f ca="1">IFERROR(__xludf.DUMMYFUNCTION("""COMPUTED_VALUE"""),"LK Škoda Plzeň")</f>
        <v>LK Škoda Plzeň</v>
      </c>
      <c r="F8" s="55">
        <v>0.1</v>
      </c>
      <c r="G8" s="61" t="s">
        <v>21</v>
      </c>
    </row>
    <row r="9" spans="1:7" ht="13.2" x14ac:dyDescent="0.25">
      <c r="A9" s="21">
        <f ca="1">IFERROR(__xludf.DUMMYFUNCTION("""COMPUTED_VALUE"""),140)</f>
        <v>140</v>
      </c>
      <c r="B9" s="11" t="str">
        <f ca="1">IFERROR(__xludf.DUMMYFUNCTION("""COMPUTED_VALUE"""),"Hellerová Eliška")</f>
        <v>Hellerová Eliška</v>
      </c>
      <c r="C9" s="11">
        <f ca="1">IFERROR(__xludf.DUMMYFUNCTION("""COMPUTED_VALUE"""),2015)</f>
        <v>2015</v>
      </c>
      <c r="D9" s="11" t="str">
        <f ca="1">IFERROR(__xludf.DUMMYFUNCTION("""COMPUTED_VALUE"""),"Starší přípravka - DÍVKY - ročník 2015-2016 (600m)")</f>
        <v>Starší přípravka - DÍVKY - ročník 2015-2016 (600m)</v>
      </c>
      <c r="E9" s="11" t="str">
        <f ca="1">IFERROR(__xludf.DUMMYFUNCTION("""COMPUTED_VALUE"""),"TJ Sokol SG Plzeň")</f>
        <v>TJ Sokol SG Plzeň</v>
      </c>
      <c r="F9" s="13">
        <v>0.10208333333333333</v>
      </c>
      <c r="G9" s="22" t="s">
        <v>22</v>
      </c>
    </row>
    <row r="10" spans="1:7" ht="13.2" x14ac:dyDescent="0.25">
      <c r="A10" s="60">
        <f ca="1">IFERROR(__xludf.DUMMYFUNCTION("""COMPUTED_VALUE"""),215)</f>
        <v>215</v>
      </c>
      <c r="B10" s="11" t="str">
        <f ca="1">IFERROR(__xludf.DUMMYFUNCTION("""COMPUTED_VALUE"""),"Janoušková Eliška")</f>
        <v>Janoušková Eliška</v>
      </c>
      <c r="C10" s="11">
        <f ca="1">IFERROR(__xludf.DUMMYFUNCTION("""COMPUTED_VALUE"""),2015)</f>
        <v>2015</v>
      </c>
      <c r="D10" s="11" t="str">
        <f ca="1">IFERROR(__xludf.DUMMYFUNCTION("""COMPUTED_VALUE"""),"Starší přípravka - DÍVKY - ročník 2015-2016 (600m)")</f>
        <v>Starší přípravka - DÍVKY - ročník 2015-2016 (600m)</v>
      </c>
      <c r="E10" s="11" t="str">
        <f ca="1">IFERROR(__xludf.DUMMYFUNCTION("""COMPUTED_VALUE"""),"LK Škoda Plzeň")</f>
        <v>LK Škoda Plzeň</v>
      </c>
      <c r="F10" s="55">
        <v>0.10277777777777777</v>
      </c>
      <c r="G10" s="61" t="s">
        <v>23</v>
      </c>
    </row>
    <row r="11" spans="1:7" ht="13.2" x14ac:dyDescent="0.25">
      <c r="A11" s="19">
        <f ca="1">IFERROR(__xludf.DUMMYFUNCTION("""COMPUTED_VALUE"""),128)</f>
        <v>128</v>
      </c>
      <c r="B11" s="12" t="s">
        <v>41</v>
      </c>
      <c r="C11" s="12">
        <f ca="1">IFERROR(__xludf.DUMMYFUNCTION("""COMPUTED_VALUE"""),2016)</f>
        <v>2016</v>
      </c>
      <c r="D11" s="12" t="str">
        <f ca="1">IFERROR(__xludf.DUMMYFUNCTION("""COMPUTED_VALUE"""),"Starší přípravka - DÍVKY - ročník 2015-2016 (600m)")</f>
        <v>Starší přípravka - DÍVKY - ročník 2015-2016 (600m)</v>
      </c>
      <c r="E11" s="12" t="str">
        <f ca="1">IFERROR(__xludf.DUMMYFUNCTION("""COMPUTED_VALUE"""),"PETŘÍN")</f>
        <v>PETŘÍN</v>
      </c>
      <c r="F11" s="13">
        <v>0.10416666666666667</v>
      </c>
      <c r="G11" s="22" t="s">
        <v>24</v>
      </c>
    </row>
    <row r="12" spans="1:7" ht="13.2" x14ac:dyDescent="0.25">
      <c r="A12" s="21">
        <f ca="1">IFERROR(__xludf.DUMMYFUNCTION("""COMPUTED_VALUE"""),206)</f>
        <v>206</v>
      </c>
      <c r="B12" s="11" t="str">
        <f ca="1">IFERROR(__xludf.DUMMYFUNCTION("""COMPUTED_VALUE"""),"Kovářová Alžběta")</f>
        <v>Kovářová Alžběta</v>
      </c>
      <c r="C12" s="12">
        <f ca="1">IFERROR(__xludf.DUMMYFUNCTION("""COMPUTED_VALUE"""),2015)</f>
        <v>2015</v>
      </c>
      <c r="D12" s="11" t="str">
        <f ca="1">IFERROR(__xludf.DUMMYFUNCTION("""COMPUTED_VALUE"""),"Starší přípravka - DÍVKY - ročník 2015-2016 (600m)")</f>
        <v>Starší přípravka - DÍVKY - ročník 2015-2016 (600m)</v>
      </c>
      <c r="E12" s="11" t="str">
        <f ca="1">IFERROR(__xludf.DUMMYFUNCTION("""COMPUTED_VALUE"""),"TJ Sokol Plzeň Petřín")</f>
        <v>TJ Sokol Plzeň Petřín</v>
      </c>
      <c r="F12" s="13">
        <v>0.10555555555555556</v>
      </c>
      <c r="G12" s="61" t="s">
        <v>25</v>
      </c>
    </row>
    <row r="13" spans="1:7" ht="13.2" x14ac:dyDescent="0.25">
      <c r="A13" s="21">
        <f ca="1">IFERROR(__xludf.DUMMYFUNCTION("""COMPUTED_VALUE"""),214)</f>
        <v>214</v>
      </c>
      <c r="B13" s="11" t="str">
        <f ca="1">IFERROR(__xludf.DUMMYFUNCTION("""COMPUTED_VALUE"""),"Černá Klára")</f>
        <v>Černá Klára</v>
      </c>
      <c r="C13" s="11">
        <f ca="1">IFERROR(__xludf.DUMMYFUNCTION("""COMPUTED_VALUE"""),2016)</f>
        <v>2016</v>
      </c>
      <c r="D13" s="12" t="str">
        <f ca="1">IFERROR(__xludf.DUMMYFUNCTION("""COMPUTED_VALUE"""),"Starší přípravka - DÍVKY - ročník 2015-2016 (600m)")</f>
        <v>Starší přípravka - DÍVKY - ročník 2015-2016 (600m)</v>
      </c>
      <c r="E13" s="11" t="str">
        <f ca="1">IFERROR(__xludf.DUMMYFUNCTION("""COMPUTED_VALUE"""),"LK Škoda Plzeň")</f>
        <v>LK Škoda Plzeň</v>
      </c>
      <c r="F13" s="13">
        <v>0.10625</v>
      </c>
      <c r="G13" s="22" t="s">
        <v>26</v>
      </c>
    </row>
    <row r="14" spans="1:7" ht="13.2" x14ac:dyDescent="0.25">
      <c r="A14" s="21">
        <f ca="1">IFERROR(__xludf.DUMMYFUNCTION("""COMPUTED_VALUE"""),253)</f>
        <v>253</v>
      </c>
      <c r="B14" s="11" t="str">
        <f ca="1">IFERROR(__xludf.DUMMYFUNCTION("""COMPUTED_VALUE"""),"Heroutová Veronika")</f>
        <v>Heroutová Veronika</v>
      </c>
      <c r="C14" s="11">
        <f ca="1">IFERROR(__xludf.DUMMYFUNCTION("""COMPUTED_VALUE"""),2016)</f>
        <v>2016</v>
      </c>
      <c r="D14" s="12" t="str">
        <f ca="1">IFERROR(__xludf.DUMMYFUNCTION("""COMPUTED_VALUE"""),"Starší přípravka - DÍVKY - ročník 2015-2016 (600m)")</f>
        <v>Starší přípravka - DÍVKY - ročník 2015-2016 (600m)</v>
      </c>
      <c r="E14" s="11" t="str">
        <f ca="1">IFERROR(__xludf.DUMMYFUNCTION("""COMPUTED_VALUE"""),"AK ŠKODA Plzeň")</f>
        <v>AK ŠKODA Plzeň</v>
      </c>
      <c r="F14" s="13">
        <v>0.10902777777777778</v>
      </c>
      <c r="G14" s="61" t="s">
        <v>27</v>
      </c>
    </row>
    <row r="15" spans="1:7" ht="13.2" x14ac:dyDescent="0.25">
      <c r="A15" s="21">
        <f ca="1">IFERROR(__xludf.DUMMYFUNCTION("""COMPUTED_VALUE"""),284)</f>
        <v>284</v>
      </c>
      <c r="B15" s="11" t="str">
        <f ca="1">IFERROR(__xludf.DUMMYFUNCTION("""COMPUTED_VALUE"""),"Smolová Svatava")</f>
        <v>Smolová Svatava</v>
      </c>
      <c r="C15" s="11">
        <f ca="1">IFERROR(__xludf.DUMMYFUNCTION("""COMPUTED_VALUE"""),2015)</f>
        <v>2015</v>
      </c>
      <c r="D15" s="11" t="str">
        <f ca="1">IFERROR(__xludf.DUMMYFUNCTION("""COMPUTED_VALUE"""),"Starší přípravka - DÍVKY - ročník 2015-2016 (600m)")</f>
        <v>Starší přípravka - DÍVKY - ročník 2015-2016 (600m)</v>
      </c>
      <c r="E15" s="11" t="str">
        <f ca="1">IFERROR(__xludf.DUMMYFUNCTION("""COMPUTED_VALUE"""),"Atletika Kyšice")</f>
        <v>Atletika Kyšice</v>
      </c>
      <c r="F15" s="13">
        <v>0.11041666666666666</v>
      </c>
      <c r="G15" s="22" t="s">
        <v>28</v>
      </c>
    </row>
    <row r="16" spans="1:7" ht="13.2" x14ac:dyDescent="0.25">
      <c r="A16" s="19">
        <f ca="1">IFERROR(__xludf.DUMMYFUNCTION("""COMPUTED_VALUE"""),231)</f>
        <v>231</v>
      </c>
      <c r="B16" s="12" t="str">
        <f ca="1">IFERROR(__xludf.DUMMYFUNCTION("""COMPUTED_VALUE"""),"Grachová Nikola")</f>
        <v>Grachová Nikola</v>
      </c>
      <c r="C16" s="12">
        <f ca="1">IFERROR(__xludf.DUMMYFUNCTION("""COMPUTED_VALUE"""),2016)</f>
        <v>2016</v>
      </c>
      <c r="D16" s="12" t="str">
        <f ca="1">IFERROR(__xludf.DUMMYFUNCTION("""COMPUTED_VALUE"""),"Starší přípravka - DÍVKY - ročník 2015-2016 (600m)")</f>
        <v>Starší přípravka - DÍVKY - ročník 2015-2016 (600m)</v>
      </c>
      <c r="E16" s="12" t="str">
        <f ca="1">IFERROR(__xludf.DUMMYFUNCTION("""COMPUTED_VALUE"""),"PH Litice")</f>
        <v>PH Litice</v>
      </c>
      <c r="F16" s="13">
        <v>0.11180555555555556</v>
      </c>
      <c r="G16" s="61" t="s">
        <v>29</v>
      </c>
    </row>
    <row r="17" spans="1:7" ht="13.2" x14ac:dyDescent="0.25">
      <c r="A17" s="19">
        <f ca="1">IFERROR(__xludf.DUMMYFUNCTION("""COMPUTED_VALUE"""),266)</f>
        <v>266</v>
      </c>
      <c r="B17" s="12" t="str">
        <f ca="1">IFERROR(__xludf.DUMMYFUNCTION("""COMPUTED_VALUE"""),"Klimtová Karolína")</f>
        <v>Klimtová Karolína</v>
      </c>
      <c r="C17" s="12">
        <f ca="1">IFERROR(__xludf.DUMMYFUNCTION("""COMPUTED_VALUE"""),2016)</f>
        <v>2016</v>
      </c>
      <c r="D17" s="12" t="str">
        <f ca="1">IFERROR(__xludf.DUMMYFUNCTION("""COMPUTED_VALUE"""),"Starší přípravka - DÍVKY - ročník 2015-2016 (600m)")</f>
        <v>Starší přípravka - DÍVKY - ročník 2015-2016 (600m)</v>
      </c>
      <c r="E17" s="123" t="str">
        <f ca="1">IFERROR(__xludf.DUMMYFUNCTION("""COMPUTED_VALUE"""),"PH Litice")</f>
        <v>PH Litice</v>
      </c>
      <c r="F17" s="13">
        <v>0.11388888888888889</v>
      </c>
      <c r="G17" s="22" t="s">
        <v>30</v>
      </c>
    </row>
    <row r="18" spans="1:7" ht="13.2" x14ac:dyDescent="0.25">
      <c r="A18" s="21">
        <f ca="1">IFERROR(__xludf.DUMMYFUNCTION("""COMPUTED_VALUE"""),254)</f>
        <v>254</v>
      </c>
      <c r="B18" s="11" t="str">
        <f ca="1">IFERROR(__xludf.DUMMYFUNCTION("""COMPUTED_VALUE"""),"Nikol Ilić")</f>
        <v>Nikol Ilić</v>
      </c>
      <c r="C18" s="11">
        <f ca="1">IFERROR(__xludf.DUMMYFUNCTION("""COMPUTED_VALUE"""),2016)</f>
        <v>2016</v>
      </c>
      <c r="D18" s="11" t="str">
        <f ca="1">IFERROR(__xludf.DUMMYFUNCTION("""COMPUTED_VALUE"""),"Starší přípravka - DÍVKY - ročník 2015-2016 (600m)")</f>
        <v>Starší přípravka - DÍVKY - ročník 2015-2016 (600m)</v>
      </c>
      <c r="E18" s="12" t="str">
        <f ca="1">IFERROR(__xludf.DUMMYFUNCTION("""COMPUTED_VALUE"""),"AK Škoda")</f>
        <v>AK Škoda</v>
      </c>
      <c r="F18" s="13">
        <v>0.11458333333333333</v>
      </c>
      <c r="G18" s="61" t="s">
        <v>31</v>
      </c>
    </row>
    <row r="19" spans="1:7" ht="13.2" x14ac:dyDescent="0.25">
      <c r="A19" s="19">
        <f ca="1">IFERROR(__xludf.DUMMYFUNCTION("""COMPUTED_VALUE"""),188)</f>
        <v>188</v>
      </c>
      <c r="B19" s="12" t="str">
        <f ca="1">IFERROR(__xludf.DUMMYFUNCTION("""COMPUTED_VALUE"""),"Linda Koudelková ")</f>
        <v xml:space="preserve">Linda Koudelková </v>
      </c>
      <c r="C19" s="12">
        <f ca="1">IFERROR(__xludf.DUMMYFUNCTION("""COMPUTED_VALUE"""),2016)</f>
        <v>2016</v>
      </c>
      <c r="D19" s="12" t="str">
        <f ca="1">IFERROR(__xludf.DUMMYFUNCTION("""COMPUTED_VALUE"""),"Starší přípravka - DÍVKY - ročník 2015-2016 (600m)")</f>
        <v>Starší přípravka - DÍVKY - ročník 2015-2016 (600m)</v>
      </c>
      <c r="E19" s="12"/>
      <c r="F19" s="13">
        <v>0.12013888888888889</v>
      </c>
      <c r="G19" s="22" t="s">
        <v>32</v>
      </c>
    </row>
    <row r="20" spans="1:7" ht="13.2" x14ac:dyDescent="0.25">
      <c r="A20" s="21">
        <f ca="1">IFERROR(__xludf.DUMMYFUNCTION("""COMPUTED_VALUE"""),422)</f>
        <v>422</v>
      </c>
      <c r="B20" s="11" t="str">
        <f ca="1">IFERROR(__xludf.DUMMYFUNCTION("""COMPUTED_VALUE"""),"Dáša Panasenko")</f>
        <v>Dáša Panasenko</v>
      </c>
      <c r="C20" s="11">
        <f ca="1">IFERROR(__xludf.DUMMYFUNCTION("""COMPUTED_VALUE"""),2015)</f>
        <v>2015</v>
      </c>
      <c r="D20" s="11" t="str">
        <f ca="1">IFERROR(__xludf.DUMMYFUNCTION("""COMPUTED_VALUE"""),"Starší přípravka - DÍVKY - ročník 2015-2016 (600m)")</f>
        <v>Starší přípravka - DÍVKY - ročník 2015-2016 (600m)</v>
      </c>
      <c r="E20" s="11" t="str">
        <f ca="1">IFERROR(__xludf.DUMMYFUNCTION("""COMPUTED_VALUE"""),"PH Litice")</f>
        <v>PH Litice</v>
      </c>
      <c r="F20" s="13">
        <v>0.12152777777777778</v>
      </c>
      <c r="G20" s="61" t="s">
        <v>33</v>
      </c>
    </row>
    <row r="21" spans="1:7" ht="13.2" x14ac:dyDescent="0.25">
      <c r="A21" s="19">
        <f ca="1">IFERROR(__xludf.DUMMYFUNCTION("""COMPUTED_VALUE"""),257)</f>
        <v>257</v>
      </c>
      <c r="B21" s="12" t="str">
        <f ca="1">IFERROR(__xludf.DUMMYFUNCTION("""COMPUTED_VALUE"""),"Fraňková Karolína")</f>
        <v>Fraňková Karolína</v>
      </c>
      <c r="C21" s="12">
        <f ca="1">IFERROR(__xludf.DUMMYFUNCTION("""COMPUTED_VALUE"""),2016)</f>
        <v>2016</v>
      </c>
      <c r="D21" s="12" t="str">
        <f ca="1">IFERROR(__xludf.DUMMYFUNCTION("""COMPUTED_VALUE"""),"Starší přípravka - DÍVKY - ročník 2015-2016 (600m)")</f>
        <v>Starší přípravka - DÍVKY - ročník 2015-2016 (600m)</v>
      </c>
      <c r="E21" s="12" t="str">
        <f ca="1">IFERROR(__xludf.DUMMYFUNCTION("""COMPUTED_VALUE"""),"AK Škoda ")</f>
        <v xml:space="preserve">AK Škoda </v>
      </c>
      <c r="F21" s="62">
        <v>0.12361111111111112</v>
      </c>
      <c r="G21" s="22" t="s">
        <v>34</v>
      </c>
    </row>
    <row r="22" spans="1:7" ht="13.2" x14ac:dyDescent="0.25">
      <c r="A22" s="19">
        <f ca="1">IFERROR(__xludf.DUMMYFUNCTION("""COMPUTED_VALUE"""),208)</f>
        <v>208</v>
      </c>
      <c r="B22" s="12" t="str">
        <f ca="1">IFERROR(__xludf.DUMMYFUNCTION("""COMPUTED_VALUE"""),"Ema Harvanová")</f>
        <v>Ema Harvanová</v>
      </c>
      <c r="C22" s="12">
        <f ca="1">IFERROR(__xludf.DUMMYFUNCTION("""COMPUTED_VALUE"""),2016)</f>
        <v>2016</v>
      </c>
      <c r="D22" s="12" t="str">
        <f ca="1">IFERROR(__xludf.DUMMYFUNCTION("""COMPUTED_VALUE"""),"Starší přípravka - DÍVKY - ročník 2015-2016 (600m)")</f>
        <v>Starší přípravka - DÍVKY - ročník 2015-2016 (600m)</v>
      </c>
      <c r="E22" s="12" t="s">
        <v>39</v>
      </c>
      <c r="F22" s="13">
        <v>0.12361111111111112</v>
      </c>
      <c r="G22" s="61" t="s">
        <v>35</v>
      </c>
    </row>
    <row r="23" spans="1:7" ht="13.2" x14ac:dyDescent="0.25">
      <c r="A23" s="19">
        <f ca="1">IFERROR(__xludf.DUMMYFUNCTION("""COMPUTED_VALUE"""),416)</f>
        <v>416</v>
      </c>
      <c r="B23" s="12" t="str">
        <f ca="1">IFERROR(__xludf.DUMMYFUNCTION("""COMPUTED_VALUE"""),"Kupková Nela")</f>
        <v>Kupková Nela</v>
      </c>
      <c r="C23" s="12">
        <f ca="1">IFERROR(__xludf.DUMMYFUNCTION("""COMPUTED_VALUE"""),2016)</f>
        <v>2016</v>
      </c>
      <c r="D23" s="12" t="str">
        <f ca="1">IFERROR(__xludf.DUMMYFUNCTION("""COMPUTED_VALUE"""),"Starší přípravka - DÍVKY - ročník 2015-2016 (600m)")</f>
        <v>Starší přípravka - DÍVKY - ročník 2015-2016 (600m)</v>
      </c>
      <c r="E23" s="12" t="str">
        <f ca="1">IFERROR(__xludf.DUMMYFUNCTION("""COMPUTED_VALUE"""),"PH Litice")</f>
        <v>PH Litice</v>
      </c>
      <c r="F23" s="62">
        <v>0.12986111111111112</v>
      </c>
      <c r="G23" s="22" t="s">
        <v>36</v>
      </c>
    </row>
    <row r="24" spans="1:7" ht="13.2" x14ac:dyDescent="0.25">
      <c r="A24" s="21">
        <f ca="1">IFERROR(__xludf.DUMMYFUNCTION("""COMPUTED_VALUE"""),268)</f>
        <v>268</v>
      </c>
      <c r="B24" s="11" t="str">
        <f ca="1">IFERROR(__xludf.DUMMYFUNCTION("""COMPUTED_VALUE"""),"Štěpánková Ema")</f>
        <v>Štěpánková Ema</v>
      </c>
      <c r="C24" s="12">
        <f ca="1">IFERROR(__xludf.DUMMYFUNCTION("""COMPUTED_VALUE"""),2015)</f>
        <v>2015</v>
      </c>
      <c r="D24" s="11" t="str">
        <f ca="1">IFERROR(__xludf.DUMMYFUNCTION("""COMPUTED_VALUE"""),"Starší přípravka - DÍVKY - ročník 2015-2016 (600m)")</f>
        <v>Starší přípravka - DÍVKY - ročník 2015-2016 (600m)</v>
      </c>
      <c r="E24" s="11" t="str">
        <f ca="1">IFERROR(__xludf.DUMMYFUNCTION("""COMPUTED_VALUE"""),"PH Litice")</f>
        <v>PH Litice</v>
      </c>
      <c r="F24" s="13">
        <v>0.1361111111111111</v>
      </c>
      <c r="G24" s="61" t="s">
        <v>37</v>
      </c>
    </row>
    <row r="25" spans="1:7" ht="13.2" x14ac:dyDescent="0.25">
      <c r="A25" s="19">
        <f ca="1">IFERROR(__xludf.DUMMYFUNCTION("""COMPUTED_VALUE"""),204)</f>
        <v>204</v>
      </c>
      <c r="B25" s="12" t="str">
        <f ca="1">IFERROR(__xludf.DUMMYFUNCTION("""COMPUTED_VALUE"""),"Ema Hálová")</f>
        <v>Ema Hálová</v>
      </c>
      <c r="C25" s="12">
        <f ca="1">IFERROR(__xludf.DUMMYFUNCTION("""COMPUTED_VALUE"""),2016)</f>
        <v>2016</v>
      </c>
      <c r="D25" s="12" t="str">
        <f ca="1">IFERROR(__xludf.DUMMYFUNCTION("""COMPUTED_VALUE"""),"Starší přípravka - DÍVKY - ročník 2015-2016 (600m)")</f>
        <v>Starší přípravka - DÍVKY - ročník 2015-2016 (600m)</v>
      </c>
      <c r="E25" s="12"/>
      <c r="F25" s="62">
        <v>0.1388888888888889</v>
      </c>
      <c r="G25" s="22" t="s">
        <v>42</v>
      </c>
    </row>
    <row r="26" spans="1:7" ht="13.8" thickBot="1" x14ac:dyDescent="0.3">
      <c r="A26" s="124">
        <f ca="1">IFERROR(__xludf.DUMMYFUNCTION("""COMPUTED_VALUE"""),404)</f>
        <v>404</v>
      </c>
      <c r="B26" s="101" t="str">
        <f ca="1">IFERROR(__xludf.DUMMYFUNCTION("""COMPUTED_VALUE"""),"Barbora Martincová")</f>
        <v>Barbora Martincová</v>
      </c>
      <c r="C26" s="101">
        <f ca="1">IFERROR(__xludf.DUMMYFUNCTION("""COMPUTED_VALUE"""),2016)</f>
        <v>2016</v>
      </c>
      <c r="D26" s="101" t="str">
        <f ca="1">IFERROR(__xludf.DUMMYFUNCTION("""COMPUTED_VALUE"""),"Starší přípravka - DÍVKY - ročník 2015-2016 (600m)")</f>
        <v>Starší přípravka - DÍVKY - ročník 2015-2016 (600m)</v>
      </c>
      <c r="E26" s="125" t="str">
        <f ca="1">IFERROR(__xludf.DUMMYFUNCTION("""COMPUTED_VALUE"""),"PH Litice")</f>
        <v>PH Litice</v>
      </c>
      <c r="F26" s="65">
        <v>0.14027777777777778</v>
      </c>
      <c r="G26" s="61" t="s">
        <v>43</v>
      </c>
    </row>
    <row r="27" spans="1:7" ht="13.2" x14ac:dyDescent="0.25">
      <c r="A27" s="1"/>
      <c r="B27" s="1"/>
      <c r="C27" s="1"/>
      <c r="D27" s="1"/>
      <c r="E27" s="1"/>
      <c r="F27" s="5"/>
      <c r="G27" s="1"/>
    </row>
    <row r="28" spans="1:7" ht="13.2" x14ac:dyDescent="0.25">
      <c r="A28" s="1"/>
      <c r="B28" s="1"/>
      <c r="C28" s="1"/>
      <c r="D28" s="1"/>
      <c r="E28" s="1"/>
      <c r="F28" s="5"/>
      <c r="G28" s="1"/>
    </row>
    <row r="29" spans="1:7" ht="13.2" x14ac:dyDescent="0.25">
      <c r="A29" s="3"/>
      <c r="B29" s="1"/>
      <c r="C29" s="1"/>
      <c r="D29" s="1"/>
      <c r="E29" s="1"/>
      <c r="F29" s="6"/>
      <c r="G29" s="2"/>
    </row>
  </sheetData>
  <phoneticPr fontId="3" type="noConversion"/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A26A-7B41-44DD-B163-E172C19F0ACC}">
  <sheetPr>
    <outlinePr summaryBelow="0" summaryRight="0"/>
  </sheetPr>
  <dimension ref="A1:G977"/>
  <sheetViews>
    <sheetView workbookViewId="0">
      <selection activeCell="D24" sqref="D24"/>
    </sheetView>
  </sheetViews>
  <sheetFormatPr defaultColWidth="12.77734375" defaultRowHeight="15.75" customHeight="1" x14ac:dyDescent="0.25"/>
  <cols>
    <col min="1" max="1" width="6.77734375" customWidth="1"/>
    <col min="2" max="2" width="15.5546875" customWidth="1"/>
    <col min="3" max="3" width="6.77734375" customWidth="1"/>
    <col min="4" max="4" width="43.109375" customWidth="1"/>
    <col min="5" max="5" width="25.21875" customWidth="1"/>
    <col min="6" max="6" width="12.77734375" customWidth="1"/>
    <col min="7" max="7" width="7.21875" style="128" customWidth="1"/>
  </cols>
  <sheetData>
    <row r="1" spans="1:7" ht="15.75" customHeight="1" x14ac:dyDescent="0.25">
      <c r="A1" s="56" t="s">
        <v>0</v>
      </c>
      <c r="B1" s="57" t="s">
        <v>1</v>
      </c>
      <c r="C1" s="58" t="s">
        <v>2</v>
      </c>
      <c r="D1" s="58" t="s">
        <v>3</v>
      </c>
      <c r="E1" s="58" t="s">
        <v>4</v>
      </c>
      <c r="F1" s="129" t="s">
        <v>5</v>
      </c>
      <c r="G1" s="130" t="s">
        <v>6</v>
      </c>
    </row>
    <row r="2" spans="1:7" ht="13.2" x14ac:dyDescent="0.25">
      <c r="A2" s="41">
        <f ca="1">IFERROR(__xludf.DUMMYFUNCTION("""COMPUTED_VALUE"""),135)</f>
        <v>135</v>
      </c>
      <c r="B2" s="38" t="str">
        <f ca="1">IFERROR(__xludf.DUMMYFUNCTION("""COMPUTED_VALUE"""),"Křen Jan")</f>
        <v>Křen Jan</v>
      </c>
      <c r="C2" s="38">
        <f ca="1">IFERROR(__xludf.DUMMYFUNCTION("""COMPUTED_VALUE"""),2017)</f>
        <v>2017</v>
      </c>
      <c r="D2" s="38" t="str">
        <f ca="1">IFERROR(__xludf.DUMMYFUNCTION("""COMPUTED_VALUE"""),"Mladší přípravka - HOŠI - ročník 2017-2018 (600m)")</f>
        <v>Mladší přípravka - HOŠI - ročník 2017-2018 (600m)</v>
      </c>
      <c r="E2" s="38" t="str">
        <f ca="1">IFERROR(__xludf.DUMMYFUNCTION("""COMPUTED_VALUE"""),"TJ Baník Stříbro")</f>
        <v>TJ Baník Stříbro</v>
      </c>
      <c r="F2" s="146">
        <v>0.1</v>
      </c>
      <c r="G2" s="134" t="s">
        <v>15</v>
      </c>
    </row>
    <row r="3" spans="1:7" ht="15.6" customHeight="1" x14ac:dyDescent="0.25">
      <c r="A3" s="147">
        <v>125</v>
      </c>
      <c r="B3" s="148" t="s">
        <v>55</v>
      </c>
      <c r="C3" s="148">
        <v>2018</v>
      </c>
      <c r="D3" s="149" t="s">
        <v>7</v>
      </c>
      <c r="E3" s="148" t="s">
        <v>56</v>
      </c>
      <c r="F3" s="150">
        <v>0.10069444444444445</v>
      </c>
      <c r="G3" s="134" t="s">
        <v>16</v>
      </c>
    </row>
    <row r="4" spans="1:7" ht="13.2" x14ac:dyDescent="0.25">
      <c r="A4" s="41">
        <f ca="1">IFERROR(__xludf.DUMMYFUNCTION("""COMPUTED_VALUE"""),234)</f>
        <v>234</v>
      </c>
      <c r="B4" s="38" t="str">
        <f ca="1">IFERROR(__xludf.DUMMYFUNCTION("""COMPUTED_VALUE"""),"Jakub Krabec")</f>
        <v>Jakub Krabec</v>
      </c>
      <c r="C4" s="38">
        <f ca="1">IFERROR(__xludf.DUMMYFUNCTION("""COMPUTED_VALUE"""),2017)</f>
        <v>2017</v>
      </c>
      <c r="D4" s="38" t="str">
        <f ca="1">IFERROR(__xludf.DUMMYFUNCTION("""COMPUTED_VALUE"""),"Mladší přípravka - HOŠI - ročník 2017-2018 (600m)")</f>
        <v>Mladší přípravka - HOŠI - ročník 2017-2018 (600m)</v>
      </c>
      <c r="E4" s="38" t="str">
        <f ca="1">IFERROR(__xludf.DUMMYFUNCTION("""COMPUTED_VALUE"""),"TJ Baník Stříbro")</f>
        <v>TJ Baník Stříbro</v>
      </c>
      <c r="F4" s="146">
        <v>0.10277777777777777</v>
      </c>
      <c r="G4" s="134" t="s">
        <v>18</v>
      </c>
    </row>
    <row r="5" spans="1:7" ht="13.2" x14ac:dyDescent="0.25">
      <c r="A5" s="41">
        <f ca="1">IFERROR(__xludf.DUMMYFUNCTION("""COMPUTED_VALUE"""),232)</f>
        <v>232</v>
      </c>
      <c r="B5" s="38" t="str">
        <f ca="1">IFERROR(__xludf.DUMMYFUNCTION("""COMPUTED_VALUE"""),"Kovář Jakub")</f>
        <v>Kovář Jakub</v>
      </c>
      <c r="C5" s="38">
        <f ca="1">IFERROR(__xludf.DUMMYFUNCTION("""COMPUTED_VALUE"""),2017)</f>
        <v>2017</v>
      </c>
      <c r="D5" s="38" t="str">
        <f ca="1">IFERROR(__xludf.DUMMYFUNCTION("""COMPUTED_VALUE"""),"Mladší přípravka - HOŠI - ročník 2017-2018 (600m)")</f>
        <v>Mladší přípravka - HOŠI - ročník 2017-2018 (600m)</v>
      </c>
      <c r="E5" s="38" t="str">
        <f ca="1">IFERROR(__xludf.DUMMYFUNCTION("""COMPUTED_VALUE"""),"FCVP")</f>
        <v>FCVP</v>
      </c>
      <c r="F5" s="146">
        <v>0.10277777777777777</v>
      </c>
      <c r="G5" s="134" t="s">
        <v>17</v>
      </c>
    </row>
    <row r="6" spans="1:7" ht="13.2" x14ac:dyDescent="0.25">
      <c r="A6" s="41">
        <f ca="1">IFERROR(__xludf.DUMMYFUNCTION("""COMPUTED_VALUE"""),130)</f>
        <v>130</v>
      </c>
      <c r="B6" s="38" t="str">
        <f ca="1">IFERROR(__xludf.DUMMYFUNCTION("""COMPUTED_VALUE"""),"Petr Nenadovič ")</f>
        <v xml:space="preserve">Petr Nenadovič </v>
      </c>
      <c r="C6" s="38">
        <f ca="1">IFERROR(__xludf.DUMMYFUNCTION("""COMPUTED_VALUE"""),2017)</f>
        <v>2017</v>
      </c>
      <c r="D6" s="38" t="str">
        <f ca="1">IFERROR(__xludf.DUMMYFUNCTION("""COMPUTED_VALUE"""),"Mladší přípravka - HOŠI - ročník 2017-2018 (600m)")</f>
        <v>Mladší přípravka - HOŠI - ročník 2017-2018 (600m)</v>
      </c>
      <c r="E6" s="38" t="str">
        <f ca="1">IFERROR(__xludf.DUMMYFUNCTION("""COMPUTED_VALUE"""),"TJ Plzeň Litice ")</f>
        <v xml:space="preserve">TJ Plzeň Litice </v>
      </c>
      <c r="F6" s="146">
        <v>0.10416666666666667</v>
      </c>
      <c r="G6" s="134" t="s">
        <v>19</v>
      </c>
    </row>
    <row r="7" spans="1:7" ht="13.2" x14ac:dyDescent="0.25">
      <c r="A7" s="41">
        <f ca="1">IFERROR(__xludf.DUMMYFUNCTION("""COMPUTED_VALUE"""),262)</f>
        <v>262</v>
      </c>
      <c r="B7" s="38" t="str">
        <f ca="1">IFERROR(__xludf.DUMMYFUNCTION("""COMPUTED_VALUE"""),"Němeček Adam")</f>
        <v>Němeček Adam</v>
      </c>
      <c r="C7" s="38">
        <f ca="1">IFERROR(__xludf.DUMMYFUNCTION("""COMPUTED_VALUE"""),2017)</f>
        <v>2017</v>
      </c>
      <c r="D7" s="38" t="str">
        <f ca="1">IFERROR(__xludf.DUMMYFUNCTION("""COMPUTED_VALUE"""),"Mladší přípravka - HOŠI - ročník 2017-2018 (600m)")</f>
        <v>Mladší přípravka - HOŠI - ročník 2017-2018 (600m)</v>
      </c>
      <c r="E7" s="38" t="str">
        <f ca="1">IFERROR(__xludf.DUMMYFUNCTION("""COMPUTED_VALUE"""),"TJ Sokol SG Plzeň - Petřín ")</f>
        <v xml:space="preserve">TJ Sokol SG Plzeň - Petřín </v>
      </c>
      <c r="F7" s="146">
        <v>0.10555555555555556</v>
      </c>
      <c r="G7" s="134" t="s">
        <v>20</v>
      </c>
    </row>
    <row r="8" spans="1:7" ht="13.2" x14ac:dyDescent="0.25">
      <c r="A8" s="41">
        <f ca="1">IFERROR(__xludf.DUMMYFUNCTION("""COMPUTED_VALUE"""),144)</f>
        <v>144</v>
      </c>
      <c r="B8" s="38" t="str">
        <f ca="1">IFERROR(__xludf.DUMMYFUNCTION("""COMPUTED_VALUE"""),"Sýkora Mikuláš")</f>
        <v>Sýkora Mikuláš</v>
      </c>
      <c r="C8" s="38">
        <f ca="1">IFERROR(__xludf.DUMMYFUNCTION("""COMPUTED_VALUE"""),2017)</f>
        <v>2017</v>
      </c>
      <c r="D8" s="38" t="str">
        <f ca="1">IFERROR(__xludf.DUMMYFUNCTION("""COMPUTED_VALUE"""),"Mladší přípravka - HOŠI - ročník 2017-2018 (600m)")</f>
        <v>Mladší přípravka - HOŠI - ročník 2017-2018 (600m)</v>
      </c>
      <c r="E8" s="38" t="str">
        <f ca="1">IFERROR(__xludf.DUMMYFUNCTION("""COMPUTED_VALUE"""),"TJ Sokol SG Plzeň-Petřín")</f>
        <v>TJ Sokol SG Plzeň-Petřín</v>
      </c>
      <c r="F8" s="146">
        <v>0.10972222222222222</v>
      </c>
      <c r="G8" s="134" t="s">
        <v>21</v>
      </c>
    </row>
    <row r="9" spans="1:7" ht="13.2" x14ac:dyDescent="0.25">
      <c r="A9" s="41">
        <f ca="1">IFERROR(__xludf.DUMMYFUNCTION("""COMPUTED_VALUE"""),405)</f>
        <v>405</v>
      </c>
      <c r="B9" s="38" t="str">
        <f ca="1">IFERROR(__xludf.DUMMYFUNCTION("""COMPUTED_VALUE"""),"Tomáš Cepník")</f>
        <v>Tomáš Cepník</v>
      </c>
      <c r="C9" s="38">
        <f ca="1">IFERROR(__xludf.DUMMYFUNCTION("""COMPUTED_VALUE"""),2018)</f>
        <v>2018</v>
      </c>
      <c r="D9" s="38" t="str">
        <f ca="1">IFERROR(__xludf.DUMMYFUNCTION("""COMPUTED_VALUE"""),"Mladší přípravka - HOŠI - ročník 2017-2018 (600m)")</f>
        <v>Mladší přípravka - HOŠI - ročník 2017-2018 (600m)</v>
      </c>
      <c r="E9" s="38" t="str">
        <f ca="1">IFERROR(__xludf.DUMMYFUNCTION("""COMPUTED_VALUE"""),"FC Viktoria Plzeň")</f>
        <v>FC Viktoria Plzeň</v>
      </c>
      <c r="F9" s="146">
        <v>0.10972222222222222</v>
      </c>
      <c r="G9" s="134" t="s">
        <v>22</v>
      </c>
    </row>
    <row r="10" spans="1:7" ht="13.2" x14ac:dyDescent="0.25">
      <c r="A10" s="41">
        <f ca="1">IFERROR(__xludf.DUMMYFUNCTION("""COMPUTED_VALUE"""),241)</f>
        <v>241</v>
      </c>
      <c r="B10" s="38" t="str">
        <f ca="1">IFERROR(__xludf.DUMMYFUNCTION("""COMPUTED_VALUE"""),"Eduard Paul")</f>
        <v>Eduard Paul</v>
      </c>
      <c r="C10" s="38">
        <f ca="1">IFERROR(__xludf.DUMMYFUNCTION("""COMPUTED_VALUE"""),2018)</f>
        <v>2018</v>
      </c>
      <c r="D10" s="38" t="str">
        <f ca="1">IFERROR(__xludf.DUMMYFUNCTION("""COMPUTED_VALUE"""),"Mladší přípravka - HOŠI - ročník 2017-2018 (600m)")</f>
        <v>Mladší přípravka - HOŠI - ročník 2017-2018 (600m)</v>
      </c>
      <c r="E10" s="38"/>
      <c r="F10" s="146">
        <v>0.11041666666666666</v>
      </c>
      <c r="G10" s="134" t="s">
        <v>23</v>
      </c>
    </row>
    <row r="11" spans="1:7" ht="13.2" x14ac:dyDescent="0.25">
      <c r="A11" s="41">
        <f ca="1">IFERROR(__xludf.DUMMYFUNCTION("""COMPUTED_VALUE"""),212)</f>
        <v>212</v>
      </c>
      <c r="B11" s="38" t="str">
        <f ca="1">IFERROR(__xludf.DUMMYFUNCTION("""COMPUTED_VALUE"""),"Janoušek Matěj")</f>
        <v>Janoušek Matěj</v>
      </c>
      <c r="C11" s="38">
        <f ca="1">IFERROR(__xludf.DUMMYFUNCTION("""COMPUTED_VALUE"""),2017)</f>
        <v>2017</v>
      </c>
      <c r="D11" s="38" t="str">
        <f ca="1">IFERROR(__xludf.DUMMYFUNCTION("""COMPUTED_VALUE"""),"Mladší přípravka - HOŠI - ročník 2017-2018 (600m)")</f>
        <v>Mladší přípravka - HOŠI - ročník 2017-2018 (600m)</v>
      </c>
      <c r="E11" s="38" t="str">
        <f ca="1">IFERROR(__xludf.DUMMYFUNCTION("""COMPUTED_VALUE"""),"LK Škoda Plzeň")</f>
        <v>LK Škoda Plzeň</v>
      </c>
      <c r="F11" s="146">
        <v>0.11388888888888889</v>
      </c>
      <c r="G11" s="134" t="s">
        <v>24</v>
      </c>
    </row>
    <row r="12" spans="1:7" ht="13.2" x14ac:dyDescent="0.25">
      <c r="A12" s="41">
        <f ca="1">IFERROR(__xludf.DUMMYFUNCTION("""COMPUTED_VALUE"""),414)</f>
        <v>414</v>
      </c>
      <c r="B12" s="38" t="str">
        <f ca="1">IFERROR(__xludf.DUMMYFUNCTION("""COMPUTED_VALUE"""),"Maxmilián Bárta")</f>
        <v>Maxmilián Bárta</v>
      </c>
      <c r="C12" s="38">
        <f ca="1">IFERROR(__xludf.DUMMYFUNCTION("""COMPUTED_VALUE"""),2017)</f>
        <v>2017</v>
      </c>
      <c r="D12" s="38" t="str">
        <f ca="1">IFERROR(__xludf.DUMMYFUNCTION("""COMPUTED_VALUE"""),"Mladší přípravka - HOŠI - ročník 2017-2018 (600m)")</f>
        <v>Mladší přípravka - HOŠI - ročník 2017-2018 (600m)</v>
      </c>
      <c r="E12" s="38" t="str">
        <f ca="1">IFERROR(__xludf.DUMMYFUNCTION("""COMPUTED_VALUE"""),"PH Litice")</f>
        <v>PH Litice</v>
      </c>
      <c r="F12" s="146">
        <v>0.11458333333333333</v>
      </c>
      <c r="G12" s="134" t="s">
        <v>25</v>
      </c>
    </row>
    <row r="13" spans="1:7" ht="13.2" x14ac:dyDescent="0.25">
      <c r="A13" s="41">
        <f ca="1">IFERROR(__xludf.DUMMYFUNCTION("""COMPUTED_VALUE"""),242)</f>
        <v>242</v>
      </c>
      <c r="B13" s="38" t="str">
        <f ca="1">IFERROR(__xludf.DUMMYFUNCTION("""COMPUTED_VALUE"""),"Milan Klimeš")</f>
        <v>Milan Klimeš</v>
      </c>
      <c r="C13" s="38">
        <f ca="1">IFERROR(__xludf.DUMMYFUNCTION("""COMPUTED_VALUE"""),2017)</f>
        <v>2017</v>
      </c>
      <c r="D13" s="38" t="str">
        <f ca="1">IFERROR(__xludf.DUMMYFUNCTION("""COMPUTED_VALUE"""),"Mladší přípravka - HOŠI - ročník 2017-2018 (600m)")</f>
        <v>Mladší přípravka - HOŠI - ročník 2017-2018 (600m)</v>
      </c>
      <c r="E13" s="38" t="s">
        <v>39</v>
      </c>
      <c r="F13" s="146">
        <v>0.11736111111111111</v>
      </c>
      <c r="G13" s="134" t="s">
        <v>26</v>
      </c>
    </row>
    <row r="14" spans="1:7" ht="13.2" x14ac:dyDescent="0.25">
      <c r="A14" s="41">
        <f ca="1">IFERROR(__xludf.DUMMYFUNCTION("""COMPUTED_VALUE"""),251)</f>
        <v>251</v>
      </c>
      <c r="B14" s="38" t="str">
        <f ca="1">IFERROR(__xludf.DUMMYFUNCTION("""COMPUTED_VALUE"""),"Koudelka Viktor")</f>
        <v>Koudelka Viktor</v>
      </c>
      <c r="C14" s="38">
        <f ca="1">IFERROR(__xludf.DUMMYFUNCTION("""COMPUTED_VALUE"""),2017)</f>
        <v>2017</v>
      </c>
      <c r="D14" s="38" t="str">
        <f ca="1">IFERROR(__xludf.DUMMYFUNCTION("""COMPUTED_VALUE"""),"Mladší přípravka - HOŠI - ročník 2017-2018 (600m)")</f>
        <v>Mladší přípravka - HOŠI - ročník 2017-2018 (600m)</v>
      </c>
      <c r="E14" s="38" t="str">
        <f ca="1">IFERROR(__xludf.DUMMYFUNCTION("""COMPUTED_VALUE"""),"Petřín")</f>
        <v>Petřín</v>
      </c>
      <c r="F14" s="146">
        <v>0.11805555555555555</v>
      </c>
      <c r="G14" s="134" t="s">
        <v>27</v>
      </c>
    </row>
    <row r="15" spans="1:7" ht="13.2" x14ac:dyDescent="0.25">
      <c r="A15" s="41">
        <f ca="1">IFERROR(__xludf.DUMMYFUNCTION("""COMPUTED_VALUE"""),281)</f>
        <v>281</v>
      </c>
      <c r="B15" s="38" t="str">
        <f ca="1">IFERROR(__xludf.DUMMYFUNCTION("""COMPUTED_VALUE"""),"Šnajdr Václav")</f>
        <v>Šnajdr Václav</v>
      </c>
      <c r="C15" s="38">
        <f ca="1">IFERROR(__xludf.DUMMYFUNCTION("""COMPUTED_VALUE"""),2017)</f>
        <v>2017</v>
      </c>
      <c r="D15" s="38" t="str">
        <f ca="1">IFERROR(__xludf.DUMMYFUNCTION("""COMPUTED_VALUE"""),"Mladší přípravka - HOŠI - ročník 2017-2018 (600m)")</f>
        <v>Mladší přípravka - HOŠI - ročník 2017-2018 (600m)</v>
      </c>
      <c r="E15" s="38" t="str">
        <f ca="1">IFERROR(__xludf.DUMMYFUNCTION("""COMPUTED_VALUE"""),"Atletika Kyšice")</f>
        <v>Atletika Kyšice</v>
      </c>
      <c r="F15" s="146">
        <v>0.11805555555555555</v>
      </c>
      <c r="G15" s="134" t="s">
        <v>28</v>
      </c>
    </row>
    <row r="16" spans="1:7" ht="13.2" x14ac:dyDescent="0.25">
      <c r="A16" s="41">
        <f ca="1">IFERROR(__xludf.DUMMYFUNCTION("""COMPUTED_VALUE"""),151)</f>
        <v>151</v>
      </c>
      <c r="B16" s="38" t="str">
        <f ca="1">IFERROR(__xludf.DUMMYFUNCTION("""COMPUTED_VALUE"""),"Sova Tomáš")</f>
        <v>Sova Tomáš</v>
      </c>
      <c r="C16" s="38">
        <f ca="1">IFERROR(__xludf.DUMMYFUNCTION("""COMPUTED_VALUE"""),2018)</f>
        <v>2018</v>
      </c>
      <c r="D16" s="38" t="str">
        <f ca="1">IFERROR(__xludf.DUMMYFUNCTION("""COMPUTED_VALUE"""),"Mladší přípravka - HOŠI - ročník 2017-2018 (600m)")</f>
        <v>Mladší přípravka - HOŠI - ročník 2017-2018 (600m)</v>
      </c>
      <c r="E16" s="38" t="str">
        <f ca="1">IFERROR(__xludf.DUMMYFUNCTION("""COMPUTED_VALUE"""),"Aktiv Sport Horšovský Týn")</f>
        <v>Aktiv Sport Horšovský Týn</v>
      </c>
      <c r="F16" s="146">
        <v>0.11874999999999999</v>
      </c>
      <c r="G16" s="134" t="s">
        <v>29</v>
      </c>
    </row>
    <row r="17" spans="1:7" ht="13.2" x14ac:dyDescent="0.25">
      <c r="A17" s="41">
        <f ca="1">IFERROR(__xludf.DUMMYFUNCTION("""COMPUTED_VALUE"""),276)</f>
        <v>276</v>
      </c>
      <c r="B17" s="38" t="str">
        <f ca="1">IFERROR(__xludf.DUMMYFUNCTION("""COMPUTED_VALUE"""),"Špánek Adam")</f>
        <v>Špánek Adam</v>
      </c>
      <c r="C17" s="38">
        <f ca="1">IFERROR(__xludf.DUMMYFUNCTION("""COMPUTED_VALUE"""),2017)</f>
        <v>2017</v>
      </c>
      <c r="D17" s="38" t="str">
        <f ca="1">IFERROR(__xludf.DUMMYFUNCTION("""COMPUTED_VALUE"""),"Mladší přípravka - HOŠI - ročník 2017-2018 (600m)")</f>
        <v>Mladší přípravka - HOŠI - ročník 2017-2018 (600m)</v>
      </c>
      <c r="E17" s="38" t="str">
        <f ca="1">IFERROR(__xludf.DUMMYFUNCTION("""COMPUTED_VALUE"""),"PH Litice")</f>
        <v>PH Litice</v>
      </c>
      <c r="F17" s="146">
        <v>0.12291666666666666</v>
      </c>
      <c r="G17" s="134" t="s">
        <v>30</v>
      </c>
    </row>
    <row r="18" spans="1:7" ht="13.2" x14ac:dyDescent="0.25">
      <c r="A18" s="41">
        <f ca="1">IFERROR(__xludf.DUMMYFUNCTION("""COMPUTED_VALUE"""),438)</f>
        <v>438</v>
      </c>
      <c r="B18" s="38" t="str">
        <f ca="1">IFERROR(__xludf.DUMMYFUNCTION("""COMPUTED_VALUE"""),"Filip Rubáš")</f>
        <v>Filip Rubáš</v>
      </c>
      <c r="C18" s="38">
        <f ca="1">IFERROR(__xludf.DUMMYFUNCTION("""COMPUTED_VALUE"""),2017)</f>
        <v>2017</v>
      </c>
      <c r="D18" s="38" t="str">
        <f ca="1">IFERROR(__xludf.DUMMYFUNCTION("""COMPUTED_VALUE"""),"Mladší přípravka - HOŠI - ročník 2017-2018 (600m)")</f>
        <v>Mladší přípravka - HOŠI - ročník 2017-2018 (600m)</v>
      </c>
      <c r="E18" s="38" t="str">
        <f ca="1">IFERROR(__xludf.DUMMYFUNCTION("""COMPUTED_VALUE"""),"Aktiv Horšovský Týn")</f>
        <v>Aktiv Horšovský Týn</v>
      </c>
      <c r="F18" s="146">
        <v>0.12361111111111112</v>
      </c>
      <c r="G18" s="134" t="s">
        <v>31</v>
      </c>
    </row>
    <row r="19" spans="1:7" ht="13.2" x14ac:dyDescent="0.25">
      <c r="A19" s="41">
        <v>447</v>
      </c>
      <c r="B19" s="38" t="s">
        <v>13</v>
      </c>
      <c r="C19" s="38">
        <v>2017</v>
      </c>
      <c r="D19" s="38" t="s">
        <v>7</v>
      </c>
      <c r="E19" s="38" t="s">
        <v>14</v>
      </c>
      <c r="F19" s="146">
        <v>0.12569444444444444</v>
      </c>
      <c r="G19" s="134" t="s">
        <v>32</v>
      </c>
    </row>
    <row r="20" spans="1:7" ht="13.2" x14ac:dyDescent="0.25">
      <c r="A20" s="41">
        <f ca="1">IFERROR(__xludf.DUMMYFUNCTION("""COMPUTED_VALUE"""),146)</f>
        <v>146</v>
      </c>
      <c r="B20" s="38" t="str">
        <f ca="1">IFERROR(__xludf.DUMMYFUNCTION("""COMPUTED_VALUE"""),"Egermaier Jakub")</f>
        <v>Egermaier Jakub</v>
      </c>
      <c r="C20" s="38">
        <f ca="1">IFERROR(__xludf.DUMMYFUNCTION("""COMPUTED_VALUE"""),2017)</f>
        <v>2017</v>
      </c>
      <c r="D20" s="38" t="str">
        <f ca="1">IFERROR(__xludf.DUMMYFUNCTION("""COMPUTED_VALUE"""),"Mladší přípravka - HOŠI - ročník 2017-2018 (600m)")</f>
        <v>Mladší přípravka - HOŠI - ročník 2017-2018 (600m)</v>
      </c>
      <c r="E20" s="38" t="str">
        <f ca="1">IFERROR(__xludf.DUMMYFUNCTION("""COMPUTED_VALUE"""),"TJ Sokol SG Plzeň-Petřín")</f>
        <v>TJ Sokol SG Plzeň-Petřín</v>
      </c>
      <c r="F20" s="146">
        <v>0.13333333333333333</v>
      </c>
      <c r="G20" s="134" t="s">
        <v>33</v>
      </c>
    </row>
    <row r="21" spans="1:7" ht="13.2" x14ac:dyDescent="0.25">
      <c r="A21" s="41">
        <f ca="1">IFERROR(__xludf.DUMMYFUNCTION("""COMPUTED_VALUE"""),149)</f>
        <v>149</v>
      </c>
      <c r="B21" s="38" t="str">
        <f ca="1">IFERROR(__xludf.DUMMYFUNCTION("""COMPUTED_VALUE"""),"Šanoba Jan")</f>
        <v>Šanoba Jan</v>
      </c>
      <c r="C21" s="38">
        <f ca="1">IFERROR(__xludf.DUMMYFUNCTION("""COMPUTED_VALUE"""),2018)</f>
        <v>2018</v>
      </c>
      <c r="D21" s="38" t="str">
        <f ca="1">IFERROR(__xludf.DUMMYFUNCTION("""COMPUTED_VALUE"""),"Mladší přípravka - HOŠI - ročník 2017-2018 (600m)")</f>
        <v>Mladší přípravka - HOŠI - ročník 2017-2018 (600m)</v>
      </c>
      <c r="E21" s="38" t="str">
        <f ca="1">IFERROR(__xludf.DUMMYFUNCTION("""COMPUTED_VALUE"""),"TJ Sokol Plzeň Petřín ")</f>
        <v xml:space="preserve">TJ Sokol Plzeň Petřín </v>
      </c>
      <c r="F21" s="146">
        <v>0.13472222222222222</v>
      </c>
      <c r="G21" s="134" t="s">
        <v>34</v>
      </c>
    </row>
    <row r="22" spans="1:7" ht="13.8" thickBot="1" x14ac:dyDescent="0.3">
      <c r="A22" s="135">
        <f ca="1">IFERROR(__xludf.DUMMYFUNCTION("""COMPUTED_VALUE"""),401)</f>
        <v>401</v>
      </c>
      <c r="B22" s="47" t="str">
        <f ca="1">IFERROR(__xludf.DUMMYFUNCTION("""COMPUTED_VALUE"""),"Josef Vaněk")</f>
        <v>Josef Vaněk</v>
      </c>
      <c r="C22" s="47">
        <f ca="1">IFERROR(__xludf.DUMMYFUNCTION("""COMPUTED_VALUE"""),2017)</f>
        <v>2017</v>
      </c>
      <c r="D22" s="47" t="str">
        <f ca="1">IFERROR(__xludf.DUMMYFUNCTION("""COMPUTED_VALUE"""),"Mladší přípravka - HOŠI - ročník 2017-2018 (600m)")</f>
        <v>Mladší přípravka - HOŠI - ročník 2017-2018 (600m)</v>
      </c>
      <c r="E22" s="47" t="str">
        <f ca="1">IFERROR(__xludf.DUMMYFUNCTION("""COMPUTED_VALUE"""),"Biatlon Litice")</f>
        <v>Biatlon Litice</v>
      </c>
      <c r="F22" s="151">
        <v>0.13750000000000001</v>
      </c>
      <c r="G22" s="134" t="s">
        <v>35</v>
      </c>
    </row>
    <row r="23" spans="1:7" ht="13.2" x14ac:dyDescent="0.25">
      <c r="A23" s="8"/>
      <c r="B23" s="8"/>
      <c r="C23" s="8"/>
      <c r="D23" s="8"/>
      <c r="E23" s="8"/>
      <c r="F23" s="126"/>
      <c r="G23" s="127"/>
    </row>
    <row r="24" spans="1:7" ht="13.2" x14ac:dyDescent="0.25">
      <c r="A24" s="8"/>
      <c r="B24" s="8"/>
      <c r="C24" s="8"/>
      <c r="D24" s="8"/>
      <c r="E24" s="8"/>
      <c r="F24" s="126"/>
      <c r="G24" s="127"/>
    </row>
    <row r="25" spans="1:7" ht="13.2" x14ac:dyDescent="0.25">
      <c r="F25" s="4"/>
    </row>
    <row r="26" spans="1:7" ht="13.2" x14ac:dyDescent="0.25">
      <c r="F26" s="4"/>
    </row>
    <row r="27" spans="1:7" ht="13.2" x14ac:dyDescent="0.25">
      <c r="F27" s="4"/>
    </row>
    <row r="28" spans="1:7" ht="13.2" x14ac:dyDescent="0.25">
      <c r="F28" s="4"/>
    </row>
    <row r="29" spans="1:7" ht="13.2" x14ac:dyDescent="0.25">
      <c r="F29" s="4"/>
    </row>
    <row r="30" spans="1:7" ht="13.2" x14ac:dyDescent="0.25">
      <c r="F30" s="4"/>
    </row>
    <row r="31" spans="1:7" ht="13.2" x14ac:dyDescent="0.25">
      <c r="F31" s="4"/>
    </row>
    <row r="32" spans="1:7" ht="13.2" x14ac:dyDescent="0.25">
      <c r="F32" s="4"/>
    </row>
    <row r="33" spans="6:6" ht="13.2" x14ac:dyDescent="0.25">
      <c r="F33" s="4"/>
    </row>
    <row r="34" spans="6:6" ht="13.2" x14ac:dyDescent="0.25">
      <c r="F34" s="4"/>
    </row>
    <row r="35" spans="6:6" ht="13.2" x14ac:dyDescent="0.25">
      <c r="F35" s="4"/>
    </row>
    <row r="36" spans="6:6" ht="13.2" x14ac:dyDescent="0.25">
      <c r="F36" s="4"/>
    </row>
    <row r="37" spans="6:6" ht="13.2" x14ac:dyDescent="0.25">
      <c r="F37" s="4"/>
    </row>
    <row r="38" spans="6:6" ht="13.2" x14ac:dyDescent="0.25">
      <c r="F38" s="4"/>
    </row>
    <row r="39" spans="6:6" ht="13.2" x14ac:dyDescent="0.25">
      <c r="F39" s="4"/>
    </row>
    <row r="40" spans="6:6" ht="13.2" x14ac:dyDescent="0.25">
      <c r="F40" s="4"/>
    </row>
    <row r="41" spans="6:6" ht="13.2" x14ac:dyDescent="0.25">
      <c r="F41" s="4"/>
    </row>
    <row r="42" spans="6:6" ht="13.2" x14ac:dyDescent="0.25">
      <c r="F42" s="4"/>
    </row>
    <row r="43" spans="6:6" ht="13.2" x14ac:dyDescent="0.25">
      <c r="F43" s="4"/>
    </row>
    <row r="44" spans="6:6" ht="13.2" x14ac:dyDescent="0.25">
      <c r="F44" s="4"/>
    </row>
    <row r="45" spans="6:6" ht="13.2" x14ac:dyDescent="0.25">
      <c r="F45" s="4"/>
    </row>
    <row r="46" spans="6:6" ht="13.2" x14ac:dyDescent="0.25">
      <c r="F46" s="4"/>
    </row>
    <row r="47" spans="6:6" ht="13.2" x14ac:dyDescent="0.25">
      <c r="F47" s="4"/>
    </row>
    <row r="48" spans="6:6" ht="13.2" x14ac:dyDescent="0.25">
      <c r="F48" s="4"/>
    </row>
    <row r="49" spans="6:6" ht="13.2" x14ac:dyDescent="0.25">
      <c r="F49" s="4"/>
    </row>
    <row r="50" spans="6:6" ht="13.2" x14ac:dyDescent="0.25">
      <c r="F50" s="4"/>
    </row>
    <row r="51" spans="6:6" ht="13.2" x14ac:dyDescent="0.25">
      <c r="F51" s="4"/>
    </row>
    <row r="52" spans="6:6" ht="13.2" x14ac:dyDescent="0.25">
      <c r="F52" s="4"/>
    </row>
    <row r="53" spans="6:6" ht="13.2" x14ac:dyDescent="0.25">
      <c r="F53" s="4"/>
    </row>
    <row r="54" spans="6:6" ht="13.2" x14ac:dyDescent="0.25">
      <c r="F54" s="4"/>
    </row>
    <row r="55" spans="6:6" ht="13.2" x14ac:dyDescent="0.25">
      <c r="F55" s="4"/>
    </row>
    <row r="56" spans="6:6" ht="13.2" x14ac:dyDescent="0.25">
      <c r="F56" s="4"/>
    </row>
    <row r="57" spans="6:6" ht="13.2" x14ac:dyDescent="0.25">
      <c r="F57" s="4"/>
    </row>
    <row r="58" spans="6:6" ht="13.2" x14ac:dyDescent="0.25">
      <c r="F58" s="4"/>
    </row>
    <row r="59" spans="6:6" ht="13.2" x14ac:dyDescent="0.25">
      <c r="F59" s="4"/>
    </row>
    <row r="60" spans="6:6" ht="13.2" x14ac:dyDescent="0.25">
      <c r="F60" s="4"/>
    </row>
    <row r="61" spans="6:6" ht="13.2" x14ac:dyDescent="0.25">
      <c r="F61" s="4"/>
    </row>
    <row r="62" spans="6:6" ht="13.2" x14ac:dyDescent="0.25">
      <c r="F62" s="4"/>
    </row>
    <row r="63" spans="6:6" ht="13.2" x14ac:dyDescent="0.25">
      <c r="F63" s="4"/>
    </row>
    <row r="64" spans="6:6" ht="13.2" x14ac:dyDescent="0.25">
      <c r="F64" s="4"/>
    </row>
    <row r="65" spans="6:6" ht="13.2" x14ac:dyDescent="0.25">
      <c r="F65" s="4"/>
    </row>
    <row r="66" spans="6:6" ht="13.2" x14ac:dyDescent="0.25">
      <c r="F66" s="4"/>
    </row>
    <row r="67" spans="6:6" ht="13.2" x14ac:dyDescent="0.25">
      <c r="F67" s="4"/>
    </row>
    <row r="68" spans="6:6" ht="13.2" x14ac:dyDescent="0.25">
      <c r="F68" s="4"/>
    </row>
    <row r="69" spans="6:6" ht="13.2" x14ac:dyDescent="0.25">
      <c r="F69" s="4"/>
    </row>
    <row r="70" spans="6:6" ht="13.2" x14ac:dyDescent="0.25">
      <c r="F70" s="4"/>
    </row>
    <row r="71" spans="6:6" ht="13.2" x14ac:dyDescent="0.25">
      <c r="F71" s="4"/>
    </row>
    <row r="72" spans="6:6" ht="13.2" x14ac:dyDescent="0.25">
      <c r="F72" s="4"/>
    </row>
    <row r="73" spans="6:6" ht="13.2" x14ac:dyDescent="0.25">
      <c r="F73" s="4"/>
    </row>
    <row r="74" spans="6:6" ht="13.2" x14ac:dyDescent="0.25">
      <c r="F74" s="4"/>
    </row>
    <row r="75" spans="6:6" ht="13.2" x14ac:dyDescent="0.25">
      <c r="F75" s="4"/>
    </row>
    <row r="76" spans="6:6" ht="13.2" x14ac:dyDescent="0.25">
      <c r="F76" s="4"/>
    </row>
    <row r="77" spans="6:6" ht="13.2" x14ac:dyDescent="0.25">
      <c r="F77" s="4"/>
    </row>
    <row r="78" spans="6:6" ht="13.2" x14ac:dyDescent="0.25">
      <c r="F78" s="4"/>
    </row>
    <row r="79" spans="6:6" ht="13.2" x14ac:dyDescent="0.25">
      <c r="F79" s="4"/>
    </row>
    <row r="80" spans="6:6" ht="13.2" x14ac:dyDescent="0.25">
      <c r="F80" s="4"/>
    </row>
    <row r="81" spans="6:6" ht="13.2" x14ac:dyDescent="0.25">
      <c r="F81" s="4"/>
    </row>
    <row r="82" spans="6:6" ht="13.2" x14ac:dyDescent="0.25">
      <c r="F82" s="4"/>
    </row>
    <row r="83" spans="6:6" ht="13.2" x14ac:dyDescent="0.25">
      <c r="F83" s="4"/>
    </row>
    <row r="84" spans="6:6" ht="13.2" x14ac:dyDescent="0.25">
      <c r="F84" s="4"/>
    </row>
    <row r="85" spans="6:6" ht="13.2" x14ac:dyDescent="0.25">
      <c r="F85" s="4"/>
    </row>
    <row r="86" spans="6:6" ht="13.2" x14ac:dyDescent="0.25">
      <c r="F86" s="4"/>
    </row>
    <row r="87" spans="6:6" ht="13.2" x14ac:dyDescent="0.25">
      <c r="F87" s="4"/>
    </row>
    <row r="88" spans="6:6" ht="13.2" x14ac:dyDescent="0.25">
      <c r="F88" s="4"/>
    </row>
    <row r="89" spans="6:6" ht="13.2" x14ac:dyDescent="0.25">
      <c r="F89" s="4"/>
    </row>
    <row r="90" spans="6:6" ht="13.2" x14ac:dyDescent="0.25">
      <c r="F90" s="4"/>
    </row>
    <row r="91" spans="6:6" ht="13.2" x14ac:dyDescent="0.25">
      <c r="F91" s="4"/>
    </row>
    <row r="92" spans="6:6" ht="13.2" x14ac:dyDescent="0.25">
      <c r="F92" s="4"/>
    </row>
    <row r="93" spans="6:6" ht="13.2" x14ac:dyDescent="0.25">
      <c r="F93" s="4"/>
    </row>
    <row r="94" spans="6:6" ht="13.2" x14ac:dyDescent="0.25">
      <c r="F94" s="4"/>
    </row>
    <row r="95" spans="6:6" ht="13.2" x14ac:dyDescent="0.25">
      <c r="F95" s="4"/>
    </row>
    <row r="96" spans="6:6" ht="13.2" x14ac:dyDescent="0.25">
      <c r="F96" s="4"/>
    </row>
    <row r="97" spans="6:6" ht="13.2" x14ac:dyDescent="0.25">
      <c r="F97" s="4"/>
    </row>
    <row r="98" spans="6:6" ht="13.2" x14ac:dyDescent="0.25">
      <c r="F98" s="4"/>
    </row>
    <row r="99" spans="6:6" ht="13.2" x14ac:dyDescent="0.25">
      <c r="F99" s="4"/>
    </row>
    <row r="100" spans="6:6" ht="13.2" x14ac:dyDescent="0.25">
      <c r="F100" s="4"/>
    </row>
    <row r="101" spans="6:6" ht="13.2" x14ac:dyDescent="0.25">
      <c r="F101" s="4"/>
    </row>
    <row r="102" spans="6:6" ht="13.2" x14ac:dyDescent="0.25">
      <c r="F102" s="4"/>
    </row>
    <row r="103" spans="6:6" ht="13.2" x14ac:dyDescent="0.25">
      <c r="F103" s="4"/>
    </row>
    <row r="104" spans="6:6" ht="13.2" x14ac:dyDescent="0.25">
      <c r="F104" s="4"/>
    </row>
    <row r="105" spans="6:6" ht="13.2" x14ac:dyDescent="0.25">
      <c r="F105" s="4"/>
    </row>
    <row r="106" spans="6:6" ht="13.2" x14ac:dyDescent="0.25">
      <c r="F106" s="4"/>
    </row>
    <row r="107" spans="6:6" ht="13.2" x14ac:dyDescent="0.25">
      <c r="F107" s="4"/>
    </row>
    <row r="108" spans="6:6" ht="13.2" x14ac:dyDescent="0.25">
      <c r="F108" s="4"/>
    </row>
    <row r="109" spans="6:6" ht="13.2" x14ac:dyDescent="0.25">
      <c r="F109" s="4"/>
    </row>
    <row r="110" spans="6:6" ht="13.2" x14ac:dyDescent="0.25">
      <c r="F110" s="4"/>
    </row>
    <row r="111" spans="6:6" ht="13.2" x14ac:dyDescent="0.25">
      <c r="F111" s="4"/>
    </row>
    <row r="112" spans="6:6" ht="13.2" x14ac:dyDescent="0.25">
      <c r="F112" s="4"/>
    </row>
    <row r="113" spans="6:6" ht="13.2" x14ac:dyDescent="0.25">
      <c r="F113" s="4"/>
    </row>
    <row r="114" spans="6:6" ht="13.2" x14ac:dyDescent="0.25">
      <c r="F114" s="4"/>
    </row>
    <row r="115" spans="6:6" ht="13.2" x14ac:dyDescent="0.25">
      <c r="F115" s="4"/>
    </row>
    <row r="116" spans="6:6" ht="13.2" x14ac:dyDescent="0.25">
      <c r="F116" s="4"/>
    </row>
    <row r="117" spans="6:6" ht="13.2" x14ac:dyDescent="0.25">
      <c r="F117" s="4"/>
    </row>
    <row r="118" spans="6:6" ht="13.2" x14ac:dyDescent="0.25">
      <c r="F118" s="4"/>
    </row>
    <row r="119" spans="6:6" ht="13.2" x14ac:dyDescent="0.25">
      <c r="F119" s="4"/>
    </row>
    <row r="120" spans="6:6" ht="13.2" x14ac:dyDescent="0.25">
      <c r="F120" s="4"/>
    </row>
    <row r="121" spans="6:6" ht="13.2" x14ac:dyDescent="0.25">
      <c r="F121" s="4"/>
    </row>
    <row r="122" spans="6:6" ht="13.2" x14ac:dyDescent="0.25">
      <c r="F122" s="4"/>
    </row>
    <row r="123" spans="6:6" ht="13.2" x14ac:dyDescent="0.25">
      <c r="F123" s="4"/>
    </row>
    <row r="124" spans="6:6" ht="13.2" x14ac:dyDescent="0.25">
      <c r="F124" s="4"/>
    </row>
    <row r="125" spans="6:6" ht="13.2" x14ac:dyDescent="0.25">
      <c r="F125" s="4"/>
    </row>
    <row r="126" spans="6:6" ht="13.2" x14ac:dyDescent="0.25">
      <c r="F126" s="4"/>
    </row>
    <row r="127" spans="6:6" ht="13.2" x14ac:dyDescent="0.25">
      <c r="F127" s="4"/>
    </row>
    <row r="128" spans="6:6" ht="13.2" x14ac:dyDescent="0.25">
      <c r="F128" s="4"/>
    </row>
    <row r="129" spans="6:6" ht="13.2" x14ac:dyDescent="0.25">
      <c r="F129" s="4"/>
    </row>
    <row r="130" spans="6:6" ht="13.2" x14ac:dyDescent="0.25">
      <c r="F130" s="4"/>
    </row>
    <row r="131" spans="6:6" ht="13.2" x14ac:dyDescent="0.25">
      <c r="F131" s="4"/>
    </row>
    <row r="132" spans="6:6" ht="13.2" x14ac:dyDescent="0.25">
      <c r="F132" s="4"/>
    </row>
    <row r="133" spans="6:6" ht="13.2" x14ac:dyDescent="0.25">
      <c r="F133" s="4"/>
    </row>
    <row r="134" spans="6:6" ht="13.2" x14ac:dyDescent="0.25">
      <c r="F134" s="4"/>
    </row>
    <row r="135" spans="6:6" ht="13.2" x14ac:dyDescent="0.25">
      <c r="F135" s="4"/>
    </row>
    <row r="136" spans="6:6" ht="13.2" x14ac:dyDescent="0.25">
      <c r="F136" s="4"/>
    </row>
    <row r="137" spans="6:6" ht="13.2" x14ac:dyDescent="0.25">
      <c r="F137" s="4"/>
    </row>
    <row r="138" spans="6:6" ht="13.2" x14ac:dyDescent="0.25">
      <c r="F138" s="4"/>
    </row>
    <row r="139" spans="6:6" ht="13.2" x14ac:dyDescent="0.25">
      <c r="F139" s="4"/>
    </row>
    <row r="140" spans="6:6" ht="13.2" x14ac:dyDescent="0.25">
      <c r="F140" s="4"/>
    </row>
    <row r="141" spans="6:6" ht="13.2" x14ac:dyDescent="0.25">
      <c r="F141" s="4"/>
    </row>
    <row r="142" spans="6:6" ht="13.2" x14ac:dyDescent="0.25">
      <c r="F142" s="4"/>
    </row>
    <row r="143" spans="6:6" ht="13.2" x14ac:dyDescent="0.25">
      <c r="F143" s="4"/>
    </row>
    <row r="144" spans="6:6" ht="13.2" x14ac:dyDescent="0.25">
      <c r="F144" s="4"/>
    </row>
    <row r="145" spans="6:6" ht="13.2" x14ac:dyDescent="0.25">
      <c r="F145" s="4"/>
    </row>
    <row r="146" spans="6:6" ht="13.2" x14ac:dyDescent="0.25">
      <c r="F146" s="4"/>
    </row>
    <row r="147" spans="6:6" ht="13.2" x14ac:dyDescent="0.25">
      <c r="F147" s="4"/>
    </row>
    <row r="148" spans="6:6" ht="13.2" x14ac:dyDescent="0.25">
      <c r="F148" s="4"/>
    </row>
    <row r="149" spans="6:6" ht="13.2" x14ac:dyDescent="0.25">
      <c r="F149" s="4"/>
    </row>
    <row r="150" spans="6:6" ht="13.2" x14ac:dyDescent="0.25">
      <c r="F150" s="4"/>
    </row>
    <row r="151" spans="6:6" ht="13.2" x14ac:dyDescent="0.25">
      <c r="F151" s="4"/>
    </row>
    <row r="152" spans="6:6" ht="13.2" x14ac:dyDescent="0.25">
      <c r="F152" s="4"/>
    </row>
    <row r="153" spans="6:6" ht="13.2" x14ac:dyDescent="0.25">
      <c r="F153" s="4"/>
    </row>
    <row r="154" spans="6:6" ht="13.2" x14ac:dyDescent="0.25">
      <c r="F154" s="4"/>
    </row>
    <row r="155" spans="6:6" ht="13.2" x14ac:dyDescent="0.25">
      <c r="F155" s="4"/>
    </row>
    <row r="156" spans="6:6" ht="13.2" x14ac:dyDescent="0.25">
      <c r="F156" s="4"/>
    </row>
    <row r="157" spans="6:6" ht="13.2" x14ac:dyDescent="0.25">
      <c r="F157" s="4"/>
    </row>
    <row r="158" spans="6:6" ht="13.2" x14ac:dyDescent="0.25">
      <c r="F158" s="4"/>
    </row>
    <row r="159" spans="6:6" ht="13.2" x14ac:dyDescent="0.25">
      <c r="F159" s="4"/>
    </row>
    <row r="160" spans="6:6" ht="13.2" x14ac:dyDescent="0.25">
      <c r="F160" s="4"/>
    </row>
    <row r="161" spans="6:6" ht="13.2" x14ac:dyDescent="0.25">
      <c r="F161" s="4"/>
    </row>
    <row r="162" spans="6:6" ht="13.2" x14ac:dyDescent="0.25">
      <c r="F162" s="4"/>
    </row>
    <row r="163" spans="6:6" ht="13.2" x14ac:dyDescent="0.25">
      <c r="F163" s="4"/>
    </row>
    <row r="164" spans="6:6" ht="13.2" x14ac:dyDescent="0.25">
      <c r="F164" s="4"/>
    </row>
    <row r="165" spans="6:6" ht="13.2" x14ac:dyDescent="0.25">
      <c r="F165" s="4"/>
    </row>
    <row r="166" spans="6:6" ht="13.2" x14ac:dyDescent="0.25">
      <c r="F166" s="4"/>
    </row>
    <row r="167" spans="6:6" ht="13.2" x14ac:dyDescent="0.25">
      <c r="F167" s="4"/>
    </row>
    <row r="168" spans="6:6" ht="13.2" x14ac:dyDescent="0.25">
      <c r="F168" s="4"/>
    </row>
    <row r="169" spans="6:6" ht="13.2" x14ac:dyDescent="0.25">
      <c r="F169" s="4"/>
    </row>
    <row r="170" spans="6:6" ht="13.2" x14ac:dyDescent="0.25">
      <c r="F170" s="4"/>
    </row>
    <row r="171" spans="6:6" ht="13.2" x14ac:dyDescent="0.25">
      <c r="F171" s="4"/>
    </row>
    <row r="172" spans="6:6" ht="13.2" x14ac:dyDescent="0.25">
      <c r="F172" s="4"/>
    </row>
    <row r="173" spans="6:6" ht="13.2" x14ac:dyDescent="0.25">
      <c r="F173" s="4"/>
    </row>
    <row r="174" spans="6:6" ht="13.2" x14ac:dyDescent="0.25">
      <c r="F174" s="4"/>
    </row>
    <row r="175" spans="6:6" ht="13.2" x14ac:dyDescent="0.25">
      <c r="F175" s="4"/>
    </row>
    <row r="176" spans="6:6" ht="13.2" x14ac:dyDescent="0.25">
      <c r="F176" s="4"/>
    </row>
    <row r="177" spans="6:6" ht="13.2" x14ac:dyDescent="0.25">
      <c r="F177" s="4"/>
    </row>
    <row r="178" spans="6:6" ht="13.2" x14ac:dyDescent="0.25">
      <c r="F178" s="4"/>
    </row>
    <row r="179" spans="6:6" ht="13.2" x14ac:dyDescent="0.25">
      <c r="F179" s="4"/>
    </row>
    <row r="180" spans="6:6" ht="13.2" x14ac:dyDescent="0.25">
      <c r="F180" s="4"/>
    </row>
    <row r="181" spans="6:6" ht="13.2" x14ac:dyDescent="0.25">
      <c r="F181" s="4"/>
    </row>
    <row r="182" spans="6:6" ht="13.2" x14ac:dyDescent="0.25">
      <c r="F182" s="4"/>
    </row>
    <row r="183" spans="6:6" ht="13.2" x14ac:dyDescent="0.25">
      <c r="F183" s="4"/>
    </row>
    <row r="184" spans="6:6" ht="13.2" x14ac:dyDescent="0.25">
      <c r="F184" s="4"/>
    </row>
    <row r="185" spans="6:6" ht="13.2" x14ac:dyDescent="0.25">
      <c r="F185" s="4"/>
    </row>
    <row r="186" spans="6:6" ht="13.2" x14ac:dyDescent="0.25">
      <c r="F186" s="4"/>
    </row>
    <row r="187" spans="6:6" ht="13.2" x14ac:dyDescent="0.25">
      <c r="F187" s="4"/>
    </row>
    <row r="188" spans="6:6" ht="13.2" x14ac:dyDescent="0.25">
      <c r="F188" s="4"/>
    </row>
    <row r="189" spans="6:6" ht="13.2" x14ac:dyDescent="0.25">
      <c r="F189" s="4"/>
    </row>
    <row r="190" spans="6:6" ht="13.2" x14ac:dyDescent="0.25">
      <c r="F190" s="4"/>
    </row>
    <row r="191" spans="6:6" ht="13.2" x14ac:dyDescent="0.25">
      <c r="F191" s="4"/>
    </row>
    <row r="192" spans="6:6" ht="13.2" x14ac:dyDescent="0.25">
      <c r="F192" s="4"/>
    </row>
    <row r="193" spans="6:6" ht="13.2" x14ac:dyDescent="0.25">
      <c r="F193" s="4"/>
    </row>
    <row r="194" spans="6:6" ht="13.2" x14ac:dyDescent="0.25">
      <c r="F194" s="4"/>
    </row>
    <row r="195" spans="6:6" ht="13.2" x14ac:dyDescent="0.25">
      <c r="F195" s="4"/>
    </row>
    <row r="196" spans="6:6" ht="13.2" x14ac:dyDescent="0.25">
      <c r="F196" s="4"/>
    </row>
    <row r="197" spans="6:6" ht="13.2" x14ac:dyDescent="0.25">
      <c r="F197" s="4"/>
    </row>
    <row r="198" spans="6:6" ht="13.2" x14ac:dyDescent="0.25">
      <c r="F198" s="4"/>
    </row>
    <row r="199" spans="6:6" ht="13.2" x14ac:dyDescent="0.25">
      <c r="F199" s="4"/>
    </row>
    <row r="200" spans="6:6" ht="13.2" x14ac:dyDescent="0.25">
      <c r="F200" s="4"/>
    </row>
    <row r="201" spans="6:6" ht="13.2" x14ac:dyDescent="0.25">
      <c r="F201" s="4"/>
    </row>
    <row r="202" spans="6:6" ht="13.2" x14ac:dyDescent="0.25">
      <c r="F202" s="4"/>
    </row>
    <row r="203" spans="6:6" ht="13.2" x14ac:dyDescent="0.25">
      <c r="F203" s="4"/>
    </row>
    <row r="204" spans="6:6" ht="13.2" x14ac:dyDescent="0.25">
      <c r="F204" s="4"/>
    </row>
    <row r="205" spans="6:6" ht="13.2" x14ac:dyDescent="0.25">
      <c r="F205" s="4"/>
    </row>
    <row r="206" spans="6:6" ht="13.2" x14ac:dyDescent="0.25">
      <c r="F206" s="4"/>
    </row>
    <row r="207" spans="6:6" ht="13.2" x14ac:dyDescent="0.25">
      <c r="F207" s="4"/>
    </row>
    <row r="208" spans="6:6" ht="13.2" x14ac:dyDescent="0.25">
      <c r="F208" s="4"/>
    </row>
    <row r="209" spans="6:6" ht="13.2" x14ac:dyDescent="0.25">
      <c r="F209" s="4"/>
    </row>
    <row r="210" spans="6:6" ht="13.2" x14ac:dyDescent="0.25">
      <c r="F210" s="4"/>
    </row>
    <row r="211" spans="6:6" ht="13.2" x14ac:dyDescent="0.25">
      <c r="F211" s="4"/>
    </row>
    <row r="212" spans="6:6" ht="13.2" x14ac:dyDescent="0.25">
      <c r="F212" s="4"/>
    </row>
    <row r="213" spans="6:6" ht="13.2" x14ac:dyDescent="0.25">
      <c r="F213" s="4"/>
    </row>
    <row r="214" spans="6:6" ht="13.2" x14ac:dyDescent="0.25">
      <c r="F214" s="4"/>
    </row>
    <row r="215" spans="6:6" ht="13.2" x14ac:dyDescent="0.25">
      <c r="F215" s="4"/>
    </row>
    <row r="216" spans="6:6" ht="13.2" x14ac:dyDescent="0.25">
      <c r="F216" s="4"/>
    </row>
    <row r="217" spans="6:6" ht="13.2" x14ac:dyDescent="0.25">
      <c r="F217" s="4"/>
    </row>
    <row r="218" spans="6:6" ht="13.2" x14ac:dyDescent="0.25">
      <c r="F218" s="4"/>
    </row>
    <row r="219" spans="6:6" ht="13.2" x14ac:dyDescent="0.25">
      <c r="F219" s="4"/>
    </row>
    <row r="220" spans="6:6" ht="13.2" x14ac:dyDescent="0.25">
      <c r="F220" s="4"/>
    </row>
    <row r="221" spans="6:6" ht="13.2" x14ac:dyDescent="0.25">
      <c r="F221" s="4"/>
    </row>
    <row r="222" spans="6:6" ht="13.2" x14ac:dyDescent="0.25">
      <c r="F222" s="4"/>
    </row>
    <row r="223" spans="6:6" ht="13.2" x14ac:dyDescent="0.25">
      <c r="F223" s="4"/>
    </row>
    <row r="224" spans="6:6" ht="13.2" x14ac:dyDescent="0.25">
      <c r="F224" s="4"/>
    </row>
    <row r="225" spans="6:6" ht="13.2" x14ac:dyDescent="0.25">
      <c r="F225" s="4"/>
    </row>
    <row r="226" spans="6:6" ht="13.2" x14ac:dyDescent="0.25">
      <c r="F226" s="4"/>
    </row>
    <row r="227" spans="6:6" ht="13.2" x14ac:dyDescent="0.25">
      <c r="F227" s="4"/>
    </row>
    <row r="228" spans="6:6" ht="13.2" x14ac:dyDescent="0.25">
      <c r="F228" s="4"/>
    </row>
    <row r="229" spans="6:6" ht="13.2" x14ac:dyDescent="0.25">
      <c r="F229" s="4"/>
    </row>
    <row r="230" spans="6:6" ht="13.2" x14ac:dyDescent="0.25">
      <c r="F230" s="4"/>
    </row>
    <row r="231" spans="6:6" ht="13.2" x14ac:dyDescent="0.25">
      <c r="F231" s="4"/>
    </row>
    <row r="232" spans="6:6" ht="13.2" x14ac:dyDescent="0.25">
      <c r="F232" s="4"/>
    </row>
    <row r="233" spans="6:6" ht="13.2" x14ac:dyDescent="0.25">
      <c r="F233" s="4"/>
    </row>
    <row r="234" spans="6:6" ht="13.2" x14ac:dyDescent="0.25">
      <c r="F234" s="4"/>
    </row>
    <row r="235" spans="6:6" ht="13.2" x14ac:dyDescent="0.25">
      <c r="F235" s="4"/>
    </row>
    <row r="236" spans="6:6" ht="13.2" x14ac:dyDescent="0.25">
      <c r="F236" s="4"/>
    </row>
    <row r="237" spans="6:6" ht="13.2" x14ac:dyDescent="0.25">
      <c r="F237" s="4"/>
    </row>
    <row r="238" spans="6:6" ht="13.2" x14ac:dyDescent="0.25">
      <c r="F238" s="4"/>
    </row>
    <row r="239" spans="6:6" ht="13.2" x14ac:dyDescent="0.25">
      <c r="F239" s="4"/>
    </row>
    <row r="240" spans="6:6" ht="13.2" x14ac:dyDescent="0.25">
      <c r="F240" s="4"/>
    </row>
    <row r="241" spans="6:6" ht="13.2" x14ac:dyDescent="0.25">
      <c r="F241" s="4"/>
    </row>
    <row r="242" spans="6:6" ht="13.2" x14ac:dyDescent="0.25">
      <c r="F242" s="4"/>
    </row>
    <row r="243" spans="6:6" ht="13.2" x14ac:dyDescent="0.25">
      <c r="F243" s="4"/>
    </row>
    <row r="244" spans="6:6" ht="13.2" x14ac:dyDescent="0.25">
      <c r="F244" s="4"/>
    </row>
    <row r="245" spans="6:6" ht="13.2" x14ac:dyDescent="0.25">
      <c r="F245" s="4"/>
    </row>
    <row r="246" spans="6:6" ht="13.2" x14ac:dyDescent="0.25">
      <c r="F246" s="4"/>
    </row>
    <row r="247" spans="6:6" ht="13.2" x14ac:dyDescent="0.25">
      <c r="F247" s="4"/>
    </row>
    <row r="248" spans="6:6" ht="13.2" x14ac:dyDescent="0.25">
      <c r="F248" s="4"/>
    </row>
    <row r="249" spans="6:6" ht="13.2" x14ac:dyDescent="0.25">
      <c r="F249" s="4"/>
    </row>
    <row r="250" spans="6:6" ht="13.2" x14ac:dyDescent="0.25">
      <c r="F250" s="4"/>
    </row>
    <row r="251" spans="6:6" ht="13.2" x14ac:dyDescent="0.25">
      <c r="F251" s="4"/>
    </row>
    <row r="252" spans="6:6" ht="13.2" x14ac:dyDescent="0.25">
      <c r="F252" s="4"/>
    </row>
    <row r="253" spans="6:6" ht="13.2" x14ac:dyDescent="0.25">
      <c r="F253" s="4"/>
    </row>
    <row r="254" spans="6:6" ht="13.2" x14ac:dyDescent="0.25">
      <c r="F254" s="4"/>
    </row>
    <row r="255" spans="6:6" ht="13.2" x14ac:dyDescent="0.25">
      <c r="F255" s="4"/>
    </row>
    <row r="256" spans="6:6" ht="13.2" x14ac:dyDescent="0.25">
      <c r="F256" s="4"/>
    </row>
    <row r="257" spans="6:6" ht="13.2" x14ac:dyDescent="0.25">
      <c r="F257" s="4"/>
    </row>
    <row r="258" spans="6:6" ht="13.2" x14ac:dyDescent="0.25">
      <c r="F258" s="4"/>
    </row>
    <row r="259" spans="6:6" ht="13.2" x14ac:dyDescent="0.25">
      <c r="F259" s="4"/>
    </row>
    <row r="260" spans="6:6" ht="13.2" x14ac:dyDescent="0.25">
      <c r="F260" s="4"/>
    </row>
    <row r="261" spans="6:6" ht="13.2" x14ac:dyDescent="0.25">
      <c r="F261" s="4"/>
    </row>
    <row r="262" spans="6:6" ht="13.2" x14ac:dyDescent="0.25">
      <c r="F262" s="4"/>
    </row>
    <row r="263" spans="6:6" ht="13.2" x14ac:dyDescent="0.25">
      <c r="F263" s="4"/>
    </row>
    <row r="264" spans="6:6" ht="13.2" x14ac:dyDescent="0.25">
      <c r="F264" s="4"/>
    </row>
    <row r="265" spans="6:6" ht="13.2" x14ac:dyDescent="0.25">
      <c r="F265" s="4"/>
    </row>
    <row r="266" spans="6:6" ht="13.2" x14ac:dyDescent="0.25">
      <c r="F266" s="4"/>
    </row>
    <row r="267" spans="6:6" ht="13.2" x14ac:dyDescent="0.25">
      <c r="F267" s="4"/>
    </row>
    <row r="268" spans="6:6" ht="13.2" x14ac:dyDescent="0.25">
      <c r="F268" s="4"/>
    </row>
    <row r="269" spans="6:6" ht="13.2" x14ac:dyDescent="0.25">
      <c r="F269" s="4"/>
    </row>
    <row r="270" spans="6:6" ht="13.2" x14ac:dyDescent="0.25">
      <c r="F270" s="4"/>
    </row>
    <row r="271" spans="6:6" ht="13.2" x14ac:dyDescent="0.25">
      <c r="F271" s="4"/>
    </row>
    <row r="272" spans="6:6" ht="13.2" x14ac:dyDescent="0.25">
      <c r="F272" s="4"/>
    </row>
    <row r="273" spans="6:6" ht="13.2" x14ac:dyDescent="0.25">
      <c r="F273" s="4"/>
    </row>
    <row r="274" spans="6:6" ht="13.2" x14ac:dyDescent="0.25">
      <c r="F274" s="4"/>
    </row>
    <row r="275" spans="6:6" ht="13.2" x14ac:dyDescent="0.25">
      <c r="F275" s="4"/>
    </row>
    <row r="276" spans="6:6" ht="13.2" x14ac:dyDescent="0.25">
      <c r="F276" s="4"/>
    </row>
    <row r="277" spans="6:6" ht="13.2" x14ac:dyDescent="0.25">
      <c r="F277" s="4"/>
    </row>
    <row r="278" spans="6:6" ht="13.2" x14ac:dyDescent="0.25">
      <c r="F278" s="4"/>
    </row>
    <row r="279" spans="6:6" ht="13.2" x14ac:dyDescent="0.25">
      <c r="F279" s="4"/>
    </row>
    <row r="280" spans="6:6" ht="13.2" x14ac:dyDescent="0.25">
      <c r="F280" s="4"/>
    </row>
    <row r="281" spans="6:6" ht="13.2" x14ac:dyDescent="0.25">
      <c r="F281" s="4"/>
    </row>
    <row r="282" spans="6:6" ht="13.2" x14ac:dyDescent="0.25">
      <c r="F282" s="4"/>
    </row>
    <row r="283" spans="6:6" ht="13.2" x14ac:dyDescent="0.25">
      <c r="F283" s="4"/>
    </row>
    <row r="284" spans="6:6" ht="13.2" x14ac:dyDescent="0.25">
      <c r="F284" s="4"/>
    </row>
    <row r="285" spans="6:6" ht="13.2" x14ac:dyDescent="0.25">
      <c r="F285" s="4"/>
    </row>
    <row r="286" spans="6:6" ht="13.2" x14ac:dyDescent="0.25">
      <c r="F286" s="4"/>
    </row>
    <row r="287" spans="6:6" ht="13.2" x14ac:dyDescent="0.25">
      <c r="F287" s="4"/>
    </row>
    <row r="288" spans="6:6" ht="13.2" x14ac:dyDescent="0.25">
      <c r="F288" s="4"/>
    </row>
    <row r="289" spans="6:6" ht="13.2" x14ac:dyDescent="0.25">
      <c r="F289" s="4"/>
    </row>
    <row r="290" spans="6:6" ht="13.2" x14ac:dyDescent="0.25">
      <c r="F290" s="4"/>
    </row>
    <row r="291" spans="6:6" ht="13.2" x14ac:dyDescent="0.25">
      <c r="F291" s="4"/>
    </row>
    <row r="292" spans="6:6" ht="13.2" x14ac:dyDescent="0.25">
      <c r="F292" s="4"/>
    </row>
    <row r="293" spans="6:6" ht="13.2" x14ac:dyDescent="0.25">
      <c r="F293" s="4"/>
    </row>
    <row r="294" spans="6:6" ht="13.2" x14ac:dyDescent="0.25">
      <c r="F294" s="4"/>
    </row>
    <row r="295" spans="6:6" ht="13.2" x14ac:dyDescent="0.25">
      <c r="F295" s="4"/>
    </row>
    <row r="296" spans="6:6" ht="13.2" x14ac:dyDescent="0.25">
      <c r="F296" s="4"/>
    </row>
    <row r="297" spans="6:6" ht="13.2" x14ac:dyDescent="0.25">
      <c r="F297" s="4"/>
    </row>
    <row r="298" spans="6:6" ht="13.2" x14ac:dyDescent="0.25">
      <c r="F298" s="4"/>
    </row>
    <row r="299" spans="6:6" ht="13.2" x14ac:dyDescent="0.25">
      <c r="F299" s="4"/>
    </row>
    <row r="300" spans="6:6" ht="13.2" x14ac:dyDescent="0.25">
      <c r="F300" s="4"/>
    </row>
    <row r="301" spans="6:6" ht="13.2" x14ac:dyDescent="0.25">
      <c r="F301" s="4"/>
    </row>
    <row r="302" spans="6:6" ht="13.2" x14ac:dyDescent="0.25">
      <c r="F302" s="4"/>
    </row>
    <row r="303" spans="6:6" ht="13.2" x14ac:dyDescent="0.25">
      <c r="F303" s="4"/>
    </row>
    <row r="304" spans="6:6" ht="13.2" x14ac:dyDescent="0.25">
      <c r="F304" s="4"/>
    </row>
    <row r="305" spans="6:6" ht="13.2" x14ac:dyDescent="0.25">
      <c r="F305" s="4"/>
    </row>
    <row r="306" spans="6:6" ht="13.2" x14ac:dyDescent="0.25">
      <c r="F306" s="4"/>
    </row>
    <row r="307" spans="6:6" ht="13.2" x14ac:dyDescent="0.25">
      <c r="F307" s="4"/>
    </row>
    <row r="308" spans="6:6" ht="13.2" x14ac:dyDescent="0.25">
      <c r="F308" s="4"/>
    </row>
    <row r="309" spans="6:6" ht="13.2" x14ac:dyDescent="0.25">
      <c r="F309" s="4"/>
    </row>
    <row r="310" spans="6:6" ht="13.2" x14ac:dyDescent="0.25">
      <c r="F310" s="4"/>
    </row>
    <row r="311" spans="6:6" ht="13.2" x14ac:dyDescent="0.25">
      <c r="F311" s="4"/>
    </row>
    <row r="312" spans="6:6" ht="13.2" x14ac:dyDescent="0.25">
      <c r="F312" s="4"/>
    </row>
    <row r="313" spans="6:6" ht="13.2" x14ac:dyDescent="0.25">
      <c r="F313" s="4"/>
    </row>
    <row r="314" spans="6:6" ht="13.2" x14ac:dyDescent="0.25">
      <c r="F314" s="4"/>
    </row>
    <row r="315" spans="6:6" ht="13.2" x14ac:dyDescent="0.25">
      <c r="F315" s="4"/>
    </row>
    <row r="316" spans="6:6" ht="13.2" x14ac:dyDescent="0.25">
      <c r="F316" s="4"/>
    </row>
    <row r="317" spans="6:6" ht="13.2" x14ac:dyDescent="0.25">
      <c r="F317" s="4"/>
    </row>
    <row r="318" spans="6:6" ht="13.2" x14ac:dyDescent="0.25">
      <c r="F318" s="4"/>
    </row>
    <row r="319" spans="6:6" ht="13.2" x14ac:dyDescent="0.25">
      <c r="F319" s="4"/>
    </row>
    <row r="320" spans="6:6" ht="13.2" x14ac:dyDescent="0.25">
      <c r="F320" s="4"/>
    </row>
    <row r="321" spans="6:6" ht="13.2" x14ac:dyDescent="0.25">
      <c r="F321" s="4"/>
    </row>
    <row r="322" spans="6:6" ht="13.2" x14ac:dyDescent="0.25">
      <c r="F322" s="4"/>
    </row>
    <row r="323" spans="6:6" ht="13.2" x14ac:dyDescent="0.25">
      <c r="F323" s="4"/>
    </row>
    <row r="324" spans="6:6" ht="13.2" x14ac:dyDescent="0.25">
      <c r="F324" s="4"/>
    </row>
    <row r="325" spans="6:6" ht="13.2" x14ac:dyDescent="0.25">
      <c r="F325" s="4"/>
    </row>
    <row r="326" spans="6:6" ht="13.2" x14ac:dyDescent="0.25">
      <c r="F326" s="4"/>
    </row>
    <row r="327" spans="6:6" ht="13.2" x14ac:dyDescent="0.25">
      <c r="F327" s="4"/>
    </row>
    <row r="328" spans="6:6" ht="13.2" x14ac:dyDescent="0.25">
      <c r="F328" s="4"/>
    </row>
    <row r="329" spans="6:6" ht="13.2" x14ac:dyDescent="0.25">
      <c r="F329" s="4"/>
    </row>
    <row r="330" spans="6:6" ht="13.2" x14ac:dyDescent="0.25">
      <c r="F330" s="4"/>
    </row>
    <row r="331" spans="6:6" ht="13.2" x14ac:dyDescent="0.25">
      <c r="F331" s="4"/>
    </row>
    <row r="332" spans="6:6" ht="13.2" x14ac:dyDescent="0.25">
      <c r="F332" s="4"/>
    </row>
    <row r="333" spans="6:6" ht="13.2" x14ac:dyDescent="0.25">
      <c r="F333" s="4"/>
    </row>
    <row r="334" spans="6:6" ht="13.2" x14ac:dyDescent="0.25">
      <c r="F334" s="4"/>
    </row>
    <row r="335" spans="6:6" ht="13.2" x14ac:dyDescent="0.25">
      <c r="F335" s="4"/>
    </row>
    <row r="336" spans="6:6" ht="13.2" x14ac:dyDescent="0.25">
      <c r="F336" s="4"/>
    </row>
    <row r="337" spans="6:6" ht="13.2" x14ac:dyDescent="0.25">
      <c r="F337" s="4"/>
    </row>
    <row r="338" spans="6:6" ht="13.2" x14ac:dyDescent="0.25">
      <c r="F338" s="4"/>
    </row>
    <row r="339" spans="6:6" ht="13.2" x14ac:dyDescent="0.25">
      <c r="F339" s="4"/>
    </row>
    <row r="340" spans="6:6" ht="13.2" x14ac:dyDescent="0.25">
      <c r="F340" s="4"/>
    </row>
    <row r="341" spans="6:6" ht="13.2" x14ac:dyDescent="0.25">
      <c r="F341" s="4"/>
    </row>
    <row r="342" spans="6:6" ht="13.2" x14ac:dyDescent="0.25">
      <c r="F342" s="4"/>
    </row>
    <row r="343" spans="6:6" ht="13.2" x14ac:dyDescent="0.25">
      <c r="F343" s="4"/>
    </row>
    <row r="344" spans="6:6" ht="13.2" x14ac:dyDescent="0.25">
      <c r="F344" s="4"/>
    </row>
    <row r="345" spans="6:6" ht="13.2" x14ac:dyDescent="0.25">
      <c r="F345" s="4"/>
    </row>
    <row r="346" spans="6:6" ht="13.2" x14ac:dyDescent="0.25">
      <c r="F346" s="4"/>
    </row>
    <row r="347" spans="6:6" ht="13.2" x14ac:dyDescent="0.25">
      <c r="F347" s="4"/>
    </row>
    <row r="348" spans="6:6" ht="13.2" x14ac:dyDescent="0.25">
      <c r="F348" s="4"/>
    </row>
    <row r="349" spans="6:6" ht="13.2" x14ac:dyDescent="0.25">
      <c r="F349" s="4"/>
    </row>
    <row r="350" spans="6:6" ht="13.2" x14ac:dyDescent="0.25">
      <c r="F350" s="4"/>
    </row>
    <row r="351" spans="6:6" ht="13.2" x14ac:dyDescent="0.25">
      <c r="F351" s="4"/>
    </row>
    <row r="352" spans="6:6" ht="13.2" x14ac:dyDescent="0.25">
      <c r="F352" s="4"/>
    </row>
    <row r="353" spans="6:6" ht="13.2" x14ac:dyDescent="0.25">
      <c r="F353" s="4"/>
    </row>
    <row r="354" spans="6:6" ht="13.2" x14ac:dyDescent="0.25">
      <c r="F354" s="4"/>
    </row>
    <row r="355" spans="6:6" ht="13.2" x14ac:dyDescent="0.25">
      <c r="F355" s="4"/>
    </row>
    <row r="356" spans="6:6" ht="13.2" x14ac:dyDescent="0.25">
      <c r="F356" s="4"/>
    </row>
    <row r="357" spans="6:6" ht="13.2" x14ac:dyDescent="0.25">
      <c r="F357" s="4"/>
    </row>
    <row r="358" spans="6:6" ht="13.2" x14ac:dyDescent="0.25">
      <c r="F358" s="4"/>
    </row>
    <row r="359" spans="6:6" ht="13.2" x14ac:dyDescent="0.25">
      <c r="F359" s="4"/>
    </row>
    <row r="360" spans="6:6" ht="13.2" x14ac:dyDescent="0.25">
      <c r="F360" s="4"/>
    </row>
    <row r="361" spans="6:6" ht="13.2" x14ac:dyDescent="0.25">
      <c r="F361" s="4"/>
    </row>
    <row r="362" spans="6:6" ht="13.2" x14ac:dyDescent="0.25">
      <c r="F362" s="4"/>
    </row>
    <row r="363" spans="6:6" ht="13.2" x14ac:dyDescent="0.25">
      <c r="F363" s="4"/>
    </row>
    <row r="364" spans="6:6" ht="13.2" x14ac:dyDescent="0.25">
      <c r="F364" s="4"/>
    </row>
    <row r="365" spans="6:6" ht="13.2" x14ac:dyDescent="0.25">
      <c r="F365" s="4"/>
    </row>
    <row r="366" spans="6:6" ht="13.2" x14ac:dyDescent="0.25">
      <c r="F366" s="4"/>
    </row>
    <row r="367" spans="6:6" ht="13.2" x14ac:dyDescent="0.25">
      <c r="F367" s="4"/>
    </row>
    <row r="368" spans="6:6" ht="13.2" x14ac:dyDescent="0.25">
      <c r="F368" s="4"/>
    </row>
    <row r="369" spans="6:6" ht="13.2" x14ac:dyDescent="0.25">
      <c r="F369" s="4"/>
    </row>
    <row r="370" spans="6:6" ht="13.2" x14ac:dyDescent="0.25">
      <c r="F370" s="4"/>
    </row>
    <row r="371" spans="6:6" ht="13.2" x14ac:dyDescent="0.25">
      <c r="F371" s="4"/>
    </row>
    <row r="372" spans="6:6" ht="13.2" x14ac:dyDescent="0.25">
      <c r="F372" s="4"/>
    </row>
    <row r="373" spans="6:6" ht="13.2" x14ac:dyDescent="0.25">
      <c r="F373" s="4"/>
    </row>
    <row r="374" spans="6:6" ht="13.2" x14ac:dyDescent="0.25">
      <c r="F374" s="4"/>
    </row>
    <row r="375" spans="6:6" ht="13.2" x14ac:dyDescent="0.25">
      <c r="F375" s="4"/>
    </row>
    <row r="376" spans="6:6" ht="13.2" x14ac:dyDescent="0.25">
      <c r="F376" s="4"/>
    </row>
    <row r="377" spans="6:6" ht="13.2" x14ac:dyDescent="0.25">
      <c r="F377" s="4"/>
    </row>
    <row r="378" spans="6:6" ht="13.2" x14ac:dyDescent="0.25">
      <c r="F378" s="4"/>
    </row>
    <row r="379" spans="6:6" ht="13.2" x14ac:dyDescent="0.25">
      <c r="F379" s="4"/>
    </row>
    <row r="380" spans="6:6" ht="13.2" x14ac:dyDescent="0.25">
      <c r="F380" s="4"/>
    </row>
    <row r="381" spans="6:6" ht="13.2" x14ac:dyDescent="0.25">
      <c r="F381" s="4"/>
    </row>
    <row r="382" spans="6:6" ht="13.2" x14ac:dyDescent="0.25">
      <c r="F382" s="4"/>
    </row>
    <row r="383" spans="6:6" ht="13.2" x14ac:dyDescent="0.25">
      <c r="F383" s="4"/>
    </row>
    <row r="384" spans="6:6" ht="13.2" x14ac:dyDescent="0.25">
      <c r="F384" s="4"/>
    </row>
    <row r="385" spans="6:6" ht="13.2" x14ac:dyDescent="0.25">
      <c r="F385" s="4"/>
    </row>
    <row r="386" spans="6:6" ht="13.2" x14ac:dyDescent="0.25">
      <c r="F386" s="4"/>
    </row>
    <row r="387" spans="6:6" ht="13.2" x14ac:dyDescent="0.25">
      <c r="F387" s="4"/>
    </row>
    <row r="388" spans="6:6" ht="13.2" x14ac:dyDescent="0.25">
      <c r="F388" s="4"/>
    </row>
    <row r="389" spans="6:6" ht="13.2" x14ac:dyDescent="0.25">
      <c r="F389" s="4"/>
    </row>
    <row r="390" spans="6:6" ht="13.2" x14ac:dyDescent="0.25">
      <c r="F390" s="4"/>
    </row>
    <row r="391" spans="6:6" ht="13.2" x14ac:dyDescent="0.25">
      <c r="F391" s="4"/>
    </row>
    <row r="392" spans="6:6" ht="13.2" x14ac:dyDescent="0.25">
      <c r="F392" s="4"/>
    </row>
    <row r="393" spans="6:6" ht="13.2" x14ac:dyDescent="0.25">
      <c r="F393" s="4"/>
    </row>
    <row r="394" spans="6:6" ht="13.2" x14ac:dyDescent="0.25">
      <c r="F394" s="4"/>
    </row>
    <row r="395" spans="6:6" ht="13.2" x14ac:dyDescent="0.25">
      <c r="F395" s="4"/>
    </row>
    <row r="396" spans="6:6" ht="13.2" x14ac:dyDescent="0.25">
      <c r="F396" s="4"/>
    </row>
    <row r="397" spans="6:6" ht="13.2" x14ac:dyDescent="0.25">
      <c r="F397" s="4"/>
    </row>
    <row r="398" spans="6:6" ht="13.2" x14ac:dyDescent="0.25">
      <c r="F398" s="4"/>
    </row>
    <row r="399" spans="6:6" ht="13.2" x14ac:dyDescent="0.25">
      <c r="F399" s="4"/>
    </row>
    <row r="400" spans="6:6" ht="13.2" x14ac:dyDescent="0.25">
      <c r="F400" s="4"/>
    </row>
    <row r="401" spans="6:6" ht="13.2" x14ac:dyDescent="0.25">
      <c r="F401" s="4"/>
    </row>
    <row r="402" spans="6:6" ht="13.2" x14ac:dyDescent="0.25">
      <c r="F402" s="4"/>
    </row>
    <row r="403" spans="6:6" ht="13.2" x14ac:dyDescent="0.25">
      <c r="F403" s="4"/>
    </row>
    <row r="404" spans="6:6" ht="13.2" x14ac:dyDescent="0.25">
      <c r="F404" s="4"/>
    </row>
    <row r="405" spans="6:6" ht="13.2" x14ac:dyDescent="0.25">
      <c r="F405" s="4"/>
    </row>
    <row r="406" spans="6:6" ht="13.2" x14ac:dyDescent="0.25">
      <c r="F406" s="4"/>
    </row>
    <row r="407" spans="6:6" ht="13.2" x14ac:dyDescent="0.25">
      <c r="F407" s="4"/>
    </row>
    <row r="408" spans="6:6" ht="13.2" x14ac:dyDescent="0.25">
      <c r="F408" s="4"/>
    </row>
    <row r="409" spans="6:6" ht="13.2" x14ac:dyDescent="0.25">
      <c r="F409" s="4"/>
    </row>
    <row r="410" spans="6:6" ht="13.2" x14ac:dyDescent="0.25">
      <c r="F410" s="4"/>
    </row>
    <row r="411" spans="6:6" ht="13.2" x14ac:dyDescent="0.25">
      <c r="F411" s="4"/>
    </row>
    <row r="412" spans="6:6" ht="13.2" x14ac:dyDescent="0.25">
      <c r="F412" s="4"/>
    </row>
    <row r="413" spans="6:6" ht="13.2" x14ac:dyDescent="0.25">
      <c r="F413" s="4"/>
    </row>
    <row r="414" spans="6:6" ht="13.2" x14ac:dyDescent="0.25">
      <c r="F414" s="4"/>
    </row>
    <row r="415" spans="6:6" ht="13.2" x14ac:dyDescent="0.25">
      <c r="F415" s="4"/>
    </row>
    <row r="416" spans="6:6" ht="13.2" x14ac:dyDescent="0.25">
      <c r="F416" s="4"/>
    </row>
    <row r="417" spans="6:6" ht="13.2" x14ac:dyDescent="0.25">
      <c r="F417" s="4"/>
    </row>
    <row r="418" spans="6:6" ht="13.2" x14ac:dyDescent="0.25">
      <c r="F418" s="4"/>
    </row>
    <row r="419" spans="6:6" ht="13.2" x14ac:dyDescent="0.25">
      <c r="F419" s="4"/>
    </row>
    <row r="420" spans="6:6" ht="13.2" x14ac:dyDescent="0.25">
      <c r="F420" s="4"/>
    </row>
    <row r="421" spans="6:6" ht="13.2" x14ac:dyDescent="0.25">
      <c r="F421" s="4"/>
    </row>
    <row r="422" spans="6:6" ht="13.2" x14ac:dyDescent="0.25">
      <c r="F422" s="4"/>
    </row>
    <row r="423" spans="6:6" ht="13.2" x14ac:dyDescent="0.25">
      <c r="F423" s="4"/>
    </row>
    <row r="424" spans="6:6" ht="13.2" x14ac:dyDescent="0.25">
      <c r="F424" s="4"/>
    </row>
    <row r="425" spans="6:6" ht="13.2" x14ac:dyDescent="0.25">
      <c r="F425" s="4"/>
    </row>
    <row r="426" spans="6:6" ht="13.2" x14ac:dyDescent="0.25">
      <c r="F426" s="4"/>
    </row>
    <row r="427" spans="6:6" ht="13.2" x14ac:dyDescent="0.25">
      <c r="F427" s="4"/>
    </row>
    <row r="428" spans="6:6" ht="13.2" x14ac:dyDescent="0.25">
      <c r="F428" s="4"/>
    </row>
    <row r="429" spans="6:6" ht="13.2" x14ac:dyDescent="0.25">
      <c r="F429" s="4"/>
    </row>
    <row r="430" spans="6:6" ht="13.2" x14ac:dyDescent="0.25">
      <c r="F430" s="4"/>
    </row>
    <row r="431" spans="6:6" ht="13.2" x14ac:dyDescent="0.25">
      <c r="F431" s="4"/>
    </row>
    <row r="432" spans="6:6" ht="13.2" x14ac:dyDescent="0.25">
      <c r="F432" s="4"/>
    </row>
    <row r="433" spans="6:6" ht="13.2" x14ac:dyDescent="0.25">
      <c r="F433" s="4"/>
    </row>
    <row r="434" spans="6:6" ht="13.2" x14ac:dyDescent="0.25">
      <c r="F434" s="4"/>
    </row>
    <row r="435" spans="6:6" ht="13.2" x14ac:dyDescent="0.25">
      <c r="F435" s="4"/>
    </row>
    <row r="436" spans="6:6" ht="13.2" x14ac:dyDescent="0.25">
      <c r="F436" s="4"/>
    </row>
    <row r="437" spans="6:6" ht="13.2" x14ac:dyDescent="0.25">
      <c r="F437" s="4"/>
    </row>
    <row r="438" spans="6:6" ht="13.2" x14ac:dyDescent="0.25">
      <c r="F438" s="4"/>
    </row>
    <row r="439" spans="6:6" ht="13.2" x14ac:dyDescent="0.25">
      <c r="F439" s="4"/>
    </row>
    <row r="440" spans="6:6" ht="13.2" x14ac:dyDescent="0.25">
      <c r="F440" s="4"/>
    </row>
    <row r="441" spans="6:6" ht="13.2" x14ac:dyDescent="0.25">
      <c r="F441" s="4"/>
    </row>
    <row r="442" spans="6:6" ht="13.2" x14ac:dyDescent="0.25">
      <c r="F442" s="4"/>
    </row>
    <row r="443" spans="6:6" ht="13.2" x14ac:dyDescent="0.25">
      <c r="F443" s="4"/>
    </row>
    <row r="444" spans="6:6" ht="13.2" x14ac:dyDescent="0.25">
      <c r="F444" s="4"/>
    </row>
    <row r="445" spans="6:6" ht="13.2" x14ac:dyDescent="0.25">
      <c r="F445" s="4"/>
    </row>
    <row r="446" spans="6:6" ht="13.2" x14ac:dyDescent="0.25">
      <c r="F446" s="4"/>
    </row>
    <row r="447" spans="6:6" ht="13.2" x14ac:dyDescent="0.25">
      <c r="F447" s="4"/>
    </row>
    <row r="448" spans="6:6" ht="13.2" x14ac:dyDescent="0.25">
      <c r="F448" s="4"/>
    </row>
    <row r="449" spans="6:6" ht="13.2" x14ac:dyDescent="0.25">
      <c r="F449" s="4"/>
    </row>
    <row r="450" spans="6:6" ht="13.2" x14ac:dyDescent="0.25">
      <c r="F450" s="4"/>
    </row>
    <row r="451" spans="6:6" ht="13.2" x14ac:dyDescent="0.25">
      <c r="F451" s="4"/>
    </row>
    <row r="452" spans="6:6" ht="13.2" x14ac:dyDescent="0.25">
      <c r="F452" s="4"/>
    </row>
    <row r="453" spans="6:6" ht="13.2" x14ac:dyDescent="0.25">
      <c r="F453" s="4"/>
    </row>
    <row r="454" spans="6:6" ht="13.2" x14ac:dyDescent="0.25">
      <c r="F454" s="4"/>
    </row>
    <row r="455" spans="6:6" ht="13.2" x14ac:dyDescent="0.25">
      <c r="F455" s="4"/>
    </row>
    <row r="456" spans="6:6" ht="13.2" x14ac:dyDescent="0.25">
      <c r="F456" s="4"/>
    </row>
    <row r="457" spans="6:6" ht="13.2" x14ac:dyDescent="0.25">
      <c r="F457" s="4"/>
    </row>
    <row r="458" spans="6:6" ht="13.2" x14ac:dyDescent="0.25">
      <c r="F458" s="4"/>
    </row>
    <row r="459" spans="6:6" ht="13.2" x14ac:dyDescent="0.25">
      <c r="F459" s="4"/>
    </row>
    <row r="460" spans="6:6" ht="13.2" x14ac:dyDescent="0.25">
      <c r="F460" s="4"/>
    </row>
    <row r="461" spans="6:6" ht="13.2" x14ac:dyDescent="0.25">
      <c r="F461" s="4"/>
    </row>
    <row r="462" spans="6:6" ht="13.2" x14ac:dyDescent="0.25">
      <c r="F462" s="4"/>
    </row>
    <row r="463" spans="6:6" ht="13.2" x14ac:dyDescent="0.25">
      <c r="F463" s="4"/>
    </row>
    <row r="464" spans="6:6" ht="13.2" x14ac:dyDescent="0.25">
      <c r="F464" s="4"/>
    </row>
    <row r="465" spans="6:6" ht="13.2" x14ac:dyDescent="0.25">
      <c r="F465" s="4"/>
    </row>
    <row r="466" spans="6:6" ht="13.2" x14ac:dyDescent="0.25">
      <c r="F466" s="4"/>
    </row>
    <row r="467" spans="6:6" ht="13.2" x14ac:dyDescent="0.25">
      <c r="F467" s="4"/>
    </row>
    <row r="468" spans="6:6" ht="13.2" x14ac:dyDescent="0.25">
      <c r="F468" s="4"/>
    </row>
    <row r="469" spans="6:6" ht="13.2" x14ac:dyDescent="0.25">
      <c r="F469" s="4"/>
    </row>
    <row r="470" spans="6:6" ht="13.2" x14ac:dyDescent="0.25">
      <c r="F470" s="4"/>
    </row>
    <row r="471" spans="6:6" ht="13.2" x14ac:dyDescent="0.25">
      <c r="F471" s="4"/>
    </row>
    <row r="472" spans="6:6" ht="13.2" x14ac:dyDescent="0.25">
      <c r="F472" s="4"/>
    </row>
    <row r="473" spans="6:6" ht="13.2" x14ac:dyDescent="0.25">
      <c r="F473" s="4"/>
    </row>
    <row r="474" spans="6:6" ht="13.2" x14ac:dyDescent="0.25">
      <c r="F474" s="4"/>
    </row>
    <row r="475" spans="6:6" ht="13.2" x14ac:dyDescent="0.25">
      <c r="F475" s="4"/>
    </row>
    <row r="476" spans="6:6" ht="13.2" x14ac:dyDescent="0.25">
      <c r="F476" s="4"/>
    </row>
    <row r="477" spans="6:6" ht="13.2" x14ac:dyDescent="0.25">
      <c r="F477" s="4"/>
    </row>
    <row r="478" spans="6:6" ht="13.2" x14ac:dyDescent="0.25">
      <c r="F478" s="4"/>
    </row>
    <row r="479" spans="6:6" ht="13.2" x14ac:dyDescent="0.25">
      <c r="F479" s="4"/>
    </row>
    <row r="480" spans="6:6" ht="13.2" x14ac:dyDescent="0.25">
      <c r="F480" s="4"/>
    </row>
    <row r="481" spans="6:6" ht="13.2" x14ac:dyDescent="0.25">
      <c r="F481" s="4"/>
    </row>
    <row r="482" spans="6:6" ht="13.2" x14ac:dyDescent="0.25">
      <c r="F482" s="4"/>
    </row>
    <row r="483" spans="6:6" ht="13.2" x14ac:dyDescent="0.25">
      <c r="F483" s="4"/>
    </row>
    <row r="484" spans="6:6" ht="13.2" x14ac:dyDescent="0.25">
      <c r="F484" s="4"/>
    </row>
    <row r="485" spans="6:6" ht="13.2" x14ac:dyDescent="0.25">
      <c r="F485" s="4"/>
    </row>
    <row r="486" spans="6:6" ht="13.2" x14ac:dyDescent="0.25">
      <c r="F486" s="4"/>
    </row>
    <row r="487" spans="6:6" ht="13.2" x14ac:dyDescent="0.25">
      <c r="F487" s="4"/>
    </row>
    <row r="488" spans="6:6" ht="13.2" x14ac:dyDescent="0.25">
      <c r="F488" s="4"/>
    </row>
    <row r="489" spans="6:6" ht="13.2" x14ac:dyDescent="0.25">
      <c r="F489" s="4"/>
    </row>
    <row r="490" spans="6:6" ht="13.2" x14ac:dyDescent="0.25">
      <c r="F490" s="4"/>
    </row>
    <row r="491" spans="6:6" ht="13.2" x14ac:dyDescent="0.25">
      <c r="F491" s="4"/>
    </row>
    <row r="492" spans="6:6" ht="13.2" x14ac:dyDescent="0.25">
      <c r="F492" s="4"/>
    </row>
    <row r="493" spans="6:6" ht="13.2" x14ac:dyDescent="0.25">
      <c r="F493" s="4"/>
    </row>
    <row r="494" spans="6:6" ht="13.2" x14ac:dyDescent="0.25">
      <c r="F494" s="4"/>
    </row>
    <row r="495" spans="6:6" ht="13.2" x14ac:dyDescent="0.25">
      <c r="F495" s="4"/>
    </row>
    <row r="496" spans="6:6" ht="13.2" x14ac:dyDescent="0.25">
      <c r="F496" s="4"/>
    </row>
    <row r="497" spans="6:6" ht="13.2" x14ac:dyDescent="0.25">
      <c r="F497" s="4"/>
    </row>
    <row r="498" spans="6:6" ht="13.2" x14ac:dyDescent="0.25">
      <c r="F498" s="4"/>
    </row>
    <row r="499" spans="6:6" ht="13.2" x14ac:dyDescent="0.25">
      <c r="F499" s="4"/>
    </row>
    <row r="500" spans="6:6" ht="13.2" x14ac:dyDescent="0.25">
      <c r="F500" s="4"/>
    </row>
    <row r="501" spans="6:6" ht="13.2" x14ac:dyDescent="0.25">
      <c r="F501" s="4"/>
    </row>
    <row r="502" spans="6:6" ht="13.2" x14ac:dyDescent="0.25">
      <c r="F502" s="4"/>
    </row>
    <row r="503" spans="6:6" ht="13.2" x14ac:dyDescent="0.25">
      <c r="F503" s="4"/>
    </row>
    <row r="504" spans="6:6" ht="13.2" x14ac:dyDescent="0.25">
      <c r="F504" s="4"/>
    </row>
    <row r="505" spans="6:6" ht="13.2" x14ac:dyDescent="0.25">
      <c r="F505" s="4"/>
    </row>
    <row r="506" spans="6:6" ht="13.2" x14ac:dyDescent="0.25">
      <c r="F506" s="4"/>
    </row>
    <row r="507" spans="6:6" ht="13.2" x14ac:dyDescent="0.25">
      <c r="F507" s="4"/>
    </row>
    <row r="508" spans="6:6" ht="13.2" x14ac:dyDescent="0.25">
      <c r="F508" s="4"/>
    </row>
    <row r="509" spans="6:6" ht="13.2" x14ac:dyDescent="0.25">
      <c r="F509" s="4"/>
    </row>
    <row r="510" spans="6:6" ht="13.2" x14ac:dyDescent="0.25">
      <c r="F510" s="4"/>
    </row>
    <row r="511" spans="6:6" ht="13.2" x14ac:dyDescent="0.25">
      <c r="F511" s="4"/>
    </row>
    <row r="512" spans="6:6" ht="13.2" x14ac:dyDescent="0.25">
      <c r="F512" s="4"/>
    </row>
    <row r="513" spans="6:6" ht="13.2" x14ac:dyDescent="0.25">
      <c r="F513" s="4"/>
    </row>
    <row r="514" spans="6:6" ht="13.2" x14ac:dyDescent="0.25">
      <c r="F514" s="4"/>
    </row>
    <row r="515" spans="6:6" ht="13.2" x14ac:dyDescent="0.25">
      <c r="F515" s="4"/>
    </row>
    <row r="516" spans="6:6" ht="13.2" x14ac:dyDescent="0.25">
      <c r="F516" s="4"/>
    </row>
    <row r="517" spans="6:6" ht="13.2" x14ac:dyDescent="0.25">
      <c r="F517" s="4"/>
    </row>
    <row r="518" spans="6:6" ht="13.2" x14ac:dyDescent="0.25">
      <c r="F518" s="4"/>
    </row>
    <row r="519" spans="6:6" ht="13.2" x14ac:dyDescent="0.25">
      <c r="F519" s="4"/>
    </row>
    <row r="520" spans="6:6" ht="13.2" x14ac:dyDescent="0.25">
      <c r="F520" s="4"/>
    </row>
    <row r="521" spans="6:6" ht="13.2" x14ac:dyDescent="0.25">
      <c r="F521" s="4"/>
    </row>
    <row r="522" spans="6:6" ht="13.2" x14ac:dyDescent="0.25">
      <c r="F522" s="4"/>
    </row>
    <row r="523" spans="6:6" ht="13.2" x14ac:dyDescent="0.25">
      <c r="F523" s="4"/>
    </row>
    <row r="524" spans="6:6" ht="13.2" x14ac:dyDescent="0.25">
      <c r="F524" s="4"/>
    </row>
    <row r="525" spans="6:6" ht="13.2" x14ac:dyDescent="0.25">
      <c r="F525" s="4"/>
    </row>
    <row r="526" spans="6:6" ht="13.2" x14ac:dyDescent="0.25">
      <c r="F526" s="4"/>
    </row>
    <row r="527" spans="6:6" ht="13.2" x14ac:dyDescent="0.25">
      <c r="F527" s="4"/>
    </row>
    <row r="528" spans="6:6" ht="13.2" x14ac:dyDescent="0.25">
      <c r="F528" s="4"/>
    </row>
    <row r="529" spans="6:6" ht="13.2" x14ac:dyDescent="0.25">
      <c r="F529" s="4"/>
    </row>
    <row r="530" spans="6:6" ht="13.2" x14ac:dyDescent="0.25">
      <c r="F530" s="4"/>
    </row>
    <row r="531" spans="6:6" ht="13.2" x14ac:dyDescent="0.25">
      <c r="F531" s="4"/>
    </row>
    <row r="532" spans="6:6" ht="13.2" x14ac:dyDescent="0.25">
      <c r="F532" s="4"/>
    </row>
    <row r="533" spans="6:6" ht="13.2" x14ac:dyDescent="0.25">
      <c r="F533" s="4"/>
    </row>
    <row r="534" spans="6:6" ht="13.2" x14ac:dyDescent="0.25">
      <c r="F534" s="4"/>
    </row>
    <row r="535" spans="6:6" ht="13.2" x14ac:dyDescent="0.25">
      <c r="F535" s="4"/>
    </row>
    <row r="536" spans="6:6" ht="13.2" x14ac:dyDescent="0.25">
      <c r="F536" s="4"/>
    </row>
    <row r="537" spans="6:6" ht="13.2" x14ac:dyDescent="0.25">
      <c r="F537" s="4"/>
    </row>
    <row r="538" spans="6:6" ht="13.2" x14ac:dyDescent="0.25">
      <c r="F538" s="4"/>
    </row>
    <row r="539" spans="6:6" ht="13.2" x14ac:dyDescent="0.25">
      <c r="F539" s="4"/>
    </row>
    <row r="540" spans="6:6" ht="13.2" x14ac:dyDescent="0.25">
      <c r="F540" s="4"/>
    </row>
    <row r="541" spans="6:6" ht="13.2" x14ac:dyDescent="0.25">
      <c r="F541" s="4"/>
    </row>
    <row r="542" spans="6:6" ht="13.2" x14ac:dyDescent="0.25">
      <c r="F542" s="4"/>
    </row>
    <row r="543" spans="6:6" ht="13.2" x14ac:dyDescent="0.25">
      <c r="F543" s="4"/>
    </row>
    <row r="544" spans="6:6" ht="13.2" x14ac:dyDescent="0.25">
      <c r="F544" s="4"/>
    </row>
    <row r="545" spans="6:6" ht="13.2" x14ac:dyDescent="0.25">
      <c r="F545" s="4"/>
    </row>
    <row r="546" spans="6:6" ht="13.2" x14ac:dyDescent="0.25">
      <c r="F546" s="4"/>
    </row>
    <row r="547" spans="6:6" ht="13.2" x14ac:dyDescent="0.25">
      <c r="F547" s="4"/>
    </row>
    <row r="548" spans="6:6" ht="13.2" x14ac:dyDescent="0.25">
      <c r="F548" s="4"/>
    </row>
    <row r="549" spans="6:6" ht="13.2" x14ac:dyDescent="0.25">
      <c r="F549" s="4"/>
    </row>
    <row r="550" spans="6:6" ht="13.2" x14ac:dyDescent="0.25">
      <c r="F550" s="4"/>
    </row>
    <row r="551" spans="6:6" ht="13.2" x14ac:dyDescent="0.25">
      <c r="F551" s="4"/>
    </row>
    <row r="552" spans="6:6" ht="13.2" x14ac:dyDescent="0.25">
      <c r="F552" s="4"/>
    </row>
    <row r="553" spans="6:6" ht="13.2" x14ac:dyDescent="0.25">
      <c r="F553" s="4"/>
    </row>
    <row r="554" spans="6:6" ht="13.2" x14ac:dyDescent="0.25">
      <c r="F554" s="4"/>
    </row>
    <row r="555" spans="6:6" ht="13.2" x14ac:dyDescent="0.25">
      <c r="F555" s="4"/>
    </row>
    <row r="556" spans="6:6" ht="13.2" x14ac:dyDescent="0.25">
      <c r="F556" s="4"/>
    </row>
    <row r="557" spans="6:6" ht="13.2" x14ac:dyDescent="0.25">
      <c r="F557" s="4"/>
    </row>
    <row r="558" spans="6:6" ht="13.2" x14ac:dyDescent="0.25">
      <c r="F558" s="4"/>
    </row>
    <row r="559" spans="6:6" ht="13.2" x14ac:dyDescent="0.25">
      <c r="F559" s="4"/>
    </row>
    <row r="560" spans="6:6" ht="13.2" x14ac:dyDescent="0.25">
      <c r="F560" s="4"/>
    </row>
    <row r="561" spans="6:6" ht="13.2" x14ac:dyDescent="0.25">
      <c r="F561" s="4"/>
    </row>
    <row r="562" spans="6:6" ht="13.2" x14ac:dyDescent="0.25">
      <c r="F562" s="4"/>
    </row>
    <row r="563" spans="6:6" ht="13.2" x14ac:dyDescent="0.25">
      <c r="F563" s="4"/>
    </row>
    <row r="564" spans="6:6" ht="13.2" x14ac:dyDescent="0.25">
      <c r="F564" s="4"/>
    </row>
    <row r="565" spans="6:6" ht="13.2" x14ac:dyDescent="0.25">
      <c r="F565" s="4"/>
    </row>
    <row r="566" spans="6:6" ht="13.2" x14ac:dyDescent="0.25">
      <c r="F566" s="4"/>
    </row>
    <row r="567" spans="6:6" ht="13.2" x14ac:dyDescent="0.25">
      <c r="F567" s="4"/>
    </row>
    <row r="568" spans="6:6" ht="13.2" x14ac:dyDescent="0.25">
      <c r="F568" s="4"/>
    </row>
    <row r="569" spans="6:6" ht="13.2" x14ac:dyDescent="0.25">
      <c r="F569" s="4"/>
    </row>
    <row r="570" spans="6:6" ht="13.2" x14ac:dyDescent="0.25">
      <c r="F570" s="4"/>
    </row>
    <row r="571" spans="6:6" ht="13.2" x14ac:dyDescent="0.25">
      <c r="F571" s="4"/>
    </row>
    <row r="572" spans="6:6" ht="13.2" x14ac:dyDescent="0.25">
      <c r="F572" s="4"/>
    </row>
    <row r="573" spans="6:6" ht="13.2" x14ac:dyDescent="0.25">
      <c r="F573" s="4"/>
    </row>
    <row r="574" spans="6:6" ht="13.2" x14ac:dyDescent="0.25">
      <c r="F574" s="4"/>
    </row>
    <row r="575" spans="6:6" ht="13.2" x14ac:dyDescent="0.25">
      <c r="F575" s="4"/>
    </row>
    <row r="576" spans="6:6" ht="13.2" x14ac:dyDescent="0.25">
      <c r="F576" s="4"/>
    </row>
    <row r="577" spans="6:6" ht="13.2" x14ac:dyDescent="0.25">
      <c r="F577" s="4"/>
    </row>
    <row r="578" spans="6:6" ht="13.2" x14ac:dyDescent="0.25">
      <c r="F578" s="4"/>
    </row>
    <row r="579" spans="6:6" ht="13.2" x14ac:dyDescent="0.25">
      <c r="F579" s="4"/>
    </row>
    <row r="580" spans="6:6" ht="13.2" x14ac:dyDescent="0.25">
      <c r="F580" s="4"/>
    </row>
    <row r="581" spans="6:6" ht="13.2" x14ac:dyDescent="0.25">
      <c r="F581" s="4"/>
    </row>
    <row r="582" spans="6:6" ht="13.2" x14ac:dyDescent="0.25">
      <c r="F582" s="4"/>
    </row>
    <row r="583" spans="6:6" ht="13.2" x14ac:dyDescent="0.25">
      <c r="F583" s="4"/>
    </row>
    <row r="584" spans="6:6" ht="13.2" x14ac:dyDescent="0.25">
      <c r="F584" s="4"/>
    </row>
    <row r="585" spans="6:6" ht="13.2" x14ac:dyDescent="0.25">
      <c r="F585" s="4"/>
    </row>
    <row r="586" spans="6:6" ht="13.2" x14ac:dyDescent="0.25">
      <c r="F586" s="4"/>
    </row>
    <row r="587" spans="6:6" ht="13.2" x14ac:dyDescent="0.25">
      <c r="F587" s="4"/>
    </row>
    <row r="588" spans="6:6" ht="13.2" x14ac:dyDescent="0.25">
      <c r="F588" s="4"/>
    </row>
    <row r="589" spans="6:6" ht="13.2" x14ac:dyDescent="0.25">
      <c r="F589" s="4"/>
    </row>
    <row r="590" spans="6:6" ht="13.2" x14ac:dyDescent="0.25">
      <c r="F590" s="4"/>
    </row>
    <row r="591" spans="6:6" ht="13.2" x14ac:dyDescent="0.25">
      <c r="F591" s="4"/>
    </row>
    <row r="592" spans="6:6" ht="13.2" x14ac:dyDescent="0.25">
      <c r="F592" s="4"/>
    </row>
    <row r="593" spans="6:6" ht="13.2" x14ac:dyDescent="0.25">
      <c r="F593" s="4"/>
    </row>
    <row r="594" spans="6:6" ht="13.2" x14ac:dyDescent="0.25">
      <c r="F594" s="4"/>
    </row>
    <row r="595" spans="6:6" ht="13.2" x14ac:dyDescent="0.25">
      <c r="F595" s="4"/>
    </row>
    <row r="596" spans="6:6" ht="13.2" x14ac:dyDescent="0.25">
      <c r="F596" s="4"/>
    </row>
    <row r="597" spans="6:6" ht="13.2" x14ac:dyDescent="0.25">
      <c r="F597" s="4"/>
    </row>
    <row r="598" spans="6:6" ht="13.2" x14ac:dyDescent="0.25">
      <c r="F598" s="4"/>
    </row>
    <row r="599" spans="6:6" ht="13.2" x14ac:dyDescent="0.25">
      <c r="F599" s="4"/>
    </row>
    <row r="600" spans="6:6" ht="13.2" x14ac:dyDescent="0.25">
      <c r="F600" s="4"/>
    </row>
    <row r="601" spans="6:6" ht="13.2" x14ac:dyDescent="0.25">
      <c r="F601" s="4"/>
    </row>
    <row r="602" spans="6:6" ht="13.2" x14ac:dyDescent="0.25">
      <c r="F602" s="4"/>
    </row>
    <row r="603" spans="6:6" ht="13.2" x14ac:dyDescent="0.25">
      <c r="F603" s="4"/>
    </row>
    <row r="604" spans="6:6" ht="13.2" x14ac:dyDescent="0.25">
      <c r="F604" s="4"/>
    </row>
    <row r="605" spans="6:6" ht="13.2" x14ac:dyDescent="0.25">
      <c r="F605" s="4"/>
    </row>
    <row r="606" spans="6:6" ht="13.2" x14ac:dyDescent="0.25">
      <c r="F606" s="4"/>
    </row>
    <row r="607" spans="6:6" ht="13.2" x14ac:dyDescent="0.25">
      <c r="F607" s="4"/>
    </row>
    <row r="608" spans="6:6" ht="13.2" x14ac:dyDescent="0.25">
      <c r="F608" s="4"/>
    </row>
    <row r="609" spans="6:6" ht="13.2" x14ac:dyDescent="0.25">
      <c r="F609" s="4"/>
    </row>
    <row r="610" spans="6:6" ht="13.2" x14ac:dyDescent="0.25">
      <c r="F610" s="4"/>
    </row>
    <row r="611" spans="6:6" ht="13.2" x14ac:dyDescent="0.25">
      <c r="F611" s="4"/>
    </row>
    <row r="612" spans="6:6" ht="13.2" x14ac:dyDescent="0.25">
      <c r="F612" s="4"/>
    </row>
    <row r="613" spans="6:6" ht="13.2" x14ac:dyDescent="0.25">
      <c r="F613" s="4"/>
    </row>
    <row r="614" spans="6:6" ht="13.2" x14ac:dyDescent="0.25">
      <c r="F614" s="4"/>
    </row>
    <row r="615" spans="6:6" ht="13.2" x14ac:dyDescent="0.25">
      <c r="F615" s="4"/>
    </row>
    <row r="616" spans="6:6" ht="13.2" x14ac:dyDescent="0.25">
      <c r="F616" s="4"/>
    </row>
    <row r="617" spans="6:6" ht="13.2" x14ac:dyDescent="0.25">
      <c r="F617" s="4"/>
    </row>
    <row r="618" spans="6:6" ht="13.2" x14ac:dyDescent="0.25">
      <c r="F618" s="4"/>
    </row>
    <row r="619" spans="6:6" ht="13.2" x14ac:dyDescent="0.25">
      <c r="F619" s="4"/>
    </row>
    <row r="620" spans="6:6" ht="13.2" x14ac:dyDescent="0.25">
      <c r="F620" s="4"/>
    </row>
    <row r="621" spans="6:6" ht="13.2" x14ac:dyDescent="0.25">
      <c r="F621" s="4"/>
    </row>
    <row r="622" spans="6:6" ht="13.2" x14ac:dyDescent="0.25">
      <c r="F622" s="4"/>
    </row>
    <row r="623" spans="6:6" ht="13.2" x14ac:dyDescent="0.25">
      <c r="F623" s="4"/>
    </row>
    <row r="624" spans="6:6" ht="13.2" x14ac:dyDescent="0.25">
      <c r="F624" s="4"/>
    </row>
    <row r="625" spans="6:6" ht="13.2" x14ac:dyDescent="0.25">
      <c r="F625" s="4"/>
    </row>
    <row r="626" spans="6:6" ht="13.2" x14ac:dyDescent="0.25">
      <c r="F626" s="4"/>
    </row>
    <row r="627" spans="6:6" ht="13.2" x14ac:dyDescent="0.25">
      <c r="F627" s="4"/>
    </row>
    <row r="628" spans="6:6" ht="13.2" x14ac:dyDescent="0.25">
      <c r="F628" s="4"/>
    </row>
    <row r="629" spans="6:6" ht="13.2" x14ac:dyDescent="0.25">
      <c r="F629" s="4"/>
    </row>
    <row r="630" spans="6:6" ht="13.2" x14ac:dyDescent="0.25">
      <c r="F630" s="4"/>
    </row>
    <row r="631" spans="6:6" ht="13.2" x14ac:dyDescent="0.25">
      <c r="F631" s="4"/>
    </row>
    <row r="632" spans="6:6" ht="13.2" x14ac:dyDescent="0.25">
      <c r="F632" s="4"/>
    </row>
    <row r="633" spans="6:6" ht="13.2" x14ac:dyDescent="0.25">
      <c r="F633" s="4"/>
    </row>
    <row r="634" spans="6:6" ht="13.2" x14ac:dyDescent="0.25">
      <c r="F634" s="4"/>
    </row>
    <row r="635" spans="6:6" ht="13.2" x14ac:dyDescent="0.25">
      <c r="F635" s="4"/>
    </row>
    <row r="636" spans="6:6" ht="13.2" x14ac:dyDescent="0.25">
      <c r="F636" s="4"/>
    </row>
    <row r="637" spans="6:6" ht="13.2" x14ac:dyDescent="0.25">
      <c r="F637" s="4"/>
    </row>
    <row r="638" spans="6:6" ht="13.2" x14ac:dyDescent="0.25">
      <c r="F638" s="4"/>
    </row>
    <row r="639" spans="6:6" ht="13.2" x14ac:dyDescent="0.25">
      <c r="F639" s="4"/>
    </row>
    <row r="640" spans="6:6" ht="13.2" x14ac:dyDescent="0.25">
      <c r="F640" s="4"/>
    </row>
    <row r="641" spans="6:6" ht="13.2" x14ac:dyDescent="0.25">
      <c r="F641" s="4"/>
    </row>
    <row r="642" spans="6:6" ht="13.2" x14ac:dyDescent="0.25">
      <c r="F642" s="4"/>
    </row>
    <row r="643" spans="6:6" ht="13.2" x14ac:dyDescent="0.25">
      <c r="F643" s="4"/>
    </row>
    <row r="644" spans="6:6" ht="13.2" x14ac:dyDescent="0.25">
      <c r="F644" s="4"/>
    </row>
    <row r="645" spans="6:6" ht="13.2" x14ac:dyDescent="0.25">
      <c r="F645" s="4"/>
    </row>
    <row r="646" spans="6:6" ht="13.2" x14ac:dyDescent="0.25">
      <c r="F646" s="4"/>
    </row>
    <row r="647" spans="6:6" ht="13.2" x14ac:dyDescent="0.25">
      <c r="F647" s="4"/>
    </row>
    <row r="648" spans="6:6" ht="13.2" x14ac:dyDescent="0.25">
      <c r="F648" s="4"/>
    </row>
    <row r="649" spans="6:6" ht="13.2" x14ac:dyDescent="0.25">
      <c r="F649" s="4"/>
    </row>
    <row r="650" spans="6:6" ht="13.2" x14ac:dyDescent="0.25">
      <c r="F650" s="4"/>
    </row>
    <row r="651" spans="6:6" ht="13.2" x14ac:dyDescent="0.25">
      <c r="F651" s="4"/>
    </row>
    <row r="652" spans="6:6" ht="13.2" x14ac:dyDescent="0.25">
      <c r="F652" s="4"/>
    </row>
    <row r="653" spans="6:6" ht="13.2" x14ac:dyDescent="0.25">
      <c r="F653" s="4"/>
    </row>
    <row r="654" spans="6:6" ht="13.2" x14ac:dyDescent="0.25">
      <c r="F654" s="4"/>
    </row>
    <row r="655" spans="6:6" ht="13.2" x14ac:dyDescent="0.25">
      <c r="F655" s="4"/>
    </row>
    <row r="656" spans="6:6" ht="13.2" x14ac:dyDescent="0.25">
      <c r="F656" s="4"/>
    </row>
    <row r="657" spans="6:6" ht="13.2" x14ac:dyDescent="0.25">
      <c r="F657" s="4"/>
    </row>
    <row r="658" spans="6:6" ht="13.2" x14ac:dyDescent="0.25">
      <c r="F658" s="4"/>
    </row>
    <row r="659" spans="6:6" ht="13.2" x14ac:dyDescent="0.25">
      <c r="F659" s="4"/>
    </row>
    <row r="660" spans="6:6" ht="13.2" x14ac:dyDescent="0.25">
      <c r="F660" s="4"/>
    </row>
    <row r="661" spans="6:6" ht="13.2" x14ac:dyDescent="0.25">
      <c r="F661" s="4"/>
    </row>
    <row r="662" spans="6:6" ht="13.2" x14ac:dyDescent="0.25">
      <c r="F662" s="4"/>
    </row>
    <row r="663" spans="6:6" ht="13.2" x14ac:dyDescent="0.25">
      <c r="F663" s="4"/>
    </row>
    <row r="664" spans="6:6" ht="13.2" x14ac:dyDescent="0.25">
      <c r="F664" s="4"/>
    </row>
    <row r="665" spans="6:6" ht="13.2" x14ac:dyDescent="0.25">
      <c r="F665" s="4"/>
    </row>
    <row r="666" spans="6:6" ht="13.2" x14ac:dyDescent="0.25">
      <c r="F666" s="4"/>
    </row>
    <row r="667" spans="6:6" ht="13.2" x14ac:dyDescent="0.25">
      <c r="F667" s="4"/>
    </row>
    <row r="668" spans="6:6" ht="13.2" x14ac:dyDescent="0.25">
      <c r="F668" s="4"/>
    </row>
    <row r="669" spans="6:6" ht="13.2" x14ac:dyDescent="0.25">
      <c r="F669" s="4"/>
    </row>
    <row r="670" spans="6:6" ht="13.2" x14ac:dyDescent="0.25">
      <c r="F670" s="4"/>
    </row>
    <row r="671" spans="6:6" ht="13.2" x14ac:dyDescent="0.25">
      <c r="F671" s="4"/>
    </row>
    <row r="672" spans="6:6" ht="13.2" x14ac:dyDescent="0.25">
      <c r="F672" s="4"/>
    </row>
    <row r="673" spans="6:6" ht="13.2" x14ac:dyDescent="0.25">
      <c r="F673" s="4"/>
    </row>
    <row r="674" spans="6:6" ht="13.2" x14ac:dyDescent="0.25">
      <c r="F674" s="4"/>
    </row>
    <row r="675" spans="6:6" ht="13.2" x14ac:dyDescent="0.25">
      <c r="F675" s="4"/>
    </row>
    <row r="676" spans="6:6" ht="13.2" x14ac:dyDescent="0.25">
      <c r="F676" s="4"/>
    </row>
    <row r="677" spans="6:6" ht="13.2" x14ac:dyDescent="0.25">
      <c r="F677" s="4"/>
    </row>
    <row r="678" spans="6:6" ht="13.2" x14ac:dyDescent="0.25">
      <c r="F678" s="4"/>
    </row>
    <row r="679" spans="6:6" ht="13.2" x14ac:dyDescent="0.25">
      <c r="F679" s="4"/>
    </row>
    <row r="680" spans="6:6" ht="13.2" x14ac:dyDescent="0.25">
      <c r="F680" s="4"/>
    </row>
    <row r="681" spans="6:6" ht="13.2" x14ac:dyDescent="0.25">
      <c r="F681" s="4"/>
    </row>
    <row r="682" spans="6:6" ht="13.2" x14ac:dyDescent="0.25">
      <c r="F682" s="4"/>
    </row>
    <row r="683" spans="6:6" ht="13.2" x14ac:dyDescent="0.25">
      <c r="F683" s="4"/>
    </row>
    <row r="684" spans="6:6" ht="13.2" x14ac:dyDescent="0.25">
      <c r="F684" s="4"/>
    </row>
    <row r="685" spans="6:6" ht="13.2" x14ac:dyDescent="0.25">
      <c r="F685" s="4"/>
    </row>
    <row r="686" spans="6:6" ht="13.2" x14ac:dyDescent="0.25">
      <c r="F686" s="4"/>
    </row>
    <row r="687" spans="6:6" ht="13.2" x14ac:dyDescent="0.25">
      <c r="F687" s="4"/>
    </row>
    <row r="688" spans="6:6" ht="13.2" x14ac:dyDescent="0.25">
      <c r="F688" s="4"/>
    </row>
    <row r="689" spans="6:6" ht="13.2" x14ac:dyDescent="0.25">
      <c r="F689" s="4"/>
    </row>
    <row r="690" spans="6:6" ht="13.2" x14ac:dyDescent="0.25">
      <c r="F690" s="4"/>
    </row>
    <row r="691" spans="6:6" ht="13.2" x14ac:dyDescent="0.25">
      <c r="F691" s="4"/>
    </row>
    <row r="692" spans="6:6" ht="13.2" x14ac:dyDescent="0.25">
      <c r="F692" s="4"/>
    </row>
    <row r="693" spans="6:6" ht="13.2" x14ac:dyDescent="0.25">
      <c r="F693" s="4"/>
    </row>
    <row r="694" spans="6:6" ht="13.2" x14ac:dyDescent="0.25">
      <c r="F694" s="4"/>
    </row>
    <row r="695" spans="6:6" ht="13.2" x14ac:dyDescent="0.25">
      <c r="F695" s="4"/>
    </row>
    <row r="696" spans="6:6" ht="13.2" x14ac:dyDescent="0.25">
      <c r="F696" s="4"/>
    </row>
    <row r="697" spans="6:6" ht="13.2" x14ac:dyDescent="0.25">
      <c r="F697" s="4"/>
    </row>
    <row r="698" spans="6:6" ht="13.2" x14ac:dyDescent="0.25">
      <c r="F698" s="4"/>
    </row>
    <row r="699" spans="6:6" ht="13.2" x14ac:dyDescent="0.25">
      <c r="F699" s="4"/>
    </row>
    <row r="700" spans="6:6" ht="13.2" x14ac:dyDescent="0.25">
      <c r="F700" s="4"/>
    </row>
    <row r="701" spans="6:6" ht="13.2" x14ac:dyDescent="0.25">
      <c r="F701" s="4"/>
    </row>
    <row r="702" spans="6:6" ht="13.2" x14ac:dyDescent="0.25">
      <c r="F702" s="4"/>
    </row>
    <row r="703" spans="6:6" ht="13.2" x14ac:dyDescent="0.25">
      <c r="F703" s="4"/>
    </row>
    <row r="704" spans="6:6" ht="13.2" x14ac:dyDescent="0.25">
      <c r="F704" s="4"/>
    </row>
    <row r="705" spans="6:6" ht="13.2" x14ac:dyDescent="0.25">
      <c r="F705" s="4"/>
    </row>
    <row r="706" spans="6:6" ht="13.2" x14ac:dyDescent="0.25">
      <c r="F706" s="4"/>
    </row>
    <row r="707" spans="6:6" ht="13.2" x14ac:dyDescent="0.25">
      <c r="F707" s="4"/>
    </row>
    <row r="708" spans="6:6" ht="13.2" x14ac:dyDescent="0.25">
      <c r="F708" s="4"/>
    </row>
    <row r="709" spans="6:6" ht="13.2" x14ac:dyDescent="0.25">
      <c r="F709" s="4"/>
    </row>
    <row r="710" spans="6:6" ht="13.2" x14ac:dyDescent="0.25">
      <c r="F710" s="4"/>
    </row>
    <row r="711" spans="6:6" ht="13.2" x14ac:dyDescent="0.25">
      <c r="F711" s="4"/>
    </row>
    <row r="712" spans="6:6" ht="13.2" x14ac:dyDescent="0.25">
      <c r="F712" s="4"/>
    </row>
    <row r="713" spans="6:6" ht="13.2" x14ac:dyDescent="0.25">
      <c r="F713" s="4"/>
    </row>
    <row r="714" spans="6:6" ht="13.2" x14ac:dyDescent="0.25">
      <c r="F714" s="4"/>
    </row>
    <row r="715" spans="6:6" ht="13.2" x14ac:dyDescent="0.25">
      <c r="F715" s="4"/>
    </row>
    <row r="716" spans="6:6" ht="13.2" x14ac:dyDescent="0.25">
      <c r="F716" s="4"/>
    </row>
    <row r="717" spans="6:6" ht="13.2" x14ac:dyDescent="0.25">
      <c r="F717" s="4"/>
    </row>
    <row r="718" spans="6:6" ht="13.2" x14ac:dyDescent="0.25">
      <c r="F718" s="4"/>
    </row>
    <row r="719" spans="6:6" ht="13.2" x14ac:dyDescent="0.25">
      <c r="F719" s="4"/>
    </row>
    <row r="720" spans="6:6" ht="13.2" x14ac:dyDescent="0.25">
      <c r="F720" s="4"/>
    </row>
    <row r="721" spans="6:6" ht="13.2" x14ac:dyDescent="0.25">
      <c r="F721" s="4"/>
    </row>
    <row r="722" spans="6:6" ht="13.2" x14ac:dyDescent="0.25">
      <c r="F722" s="4"/>
    </row>
    <row r="723" spans="6:6" ht="13.2" x14ac:dyDescent="0.25">
      <c r="F723" s="4"/>
    </row>
    <row r="724" spans="6:6" ht="13.2" x14ac:dyDescent="0.25">
      <c r="F724" s="4"/>
    </row>
    <row r="725" spans="6:6" ht="13.2" x14ac:dyDescent="0.25">
      <c r="F725" s="4"/>
    </row>
    <row r="726" spans="6:6" ht="13.2" x14ac:dyDescent="0.25">
      <c r="F726" s="4"/>
    </row>
    <row r="727" spans="6:6" ht="13.2" x14ac:dyDescent="0.25">
      <c r="F727" s="4"/>
    </row>
    <row r="728" spans="6:6" ht="13.2" x14ac:dyDescent="0.25">
      <c r="F728" s="4"/>
    </row>
    <row r="729" spans="6:6" ht="13.2" x14ac:dyDescent="0.25">
      <c r="F729" s="4"/>
    </row>
    <row r="730" spans="6:6" ht="13.2" x14ac:dyDescent="0.25">
      <c r="F730" s="4"/>
    </row>
    <row r="731" spans="6:6" ht="13.2" x14ac:dyDescent="0.25">
      <c r="F731" s="4"/>
    </row>
    <row r="732" spans="6:6" ht="13.2" x14ac:dyDescent="0.25">
      <c r="F732" s="4"/>
    </row>
    <row r="733" spans="6:6" ht="13.2" x14ac:dyDescent="0.25">
      <c r="F733" s="4"/>
    </row>
    <row r="734" spans="6:6" ht="13.2" x14ac:dyDescent="0.25">
      <c r="F734" s="4"/>
    </row>
    <row r="735" spans="6:6" ht="13.2" x14ac:dyDescent="0.25">
      <c r="F735" s="4"/>
    </row>
    <row r="736" spans="6:6" ht="13.2" x14ac:dyDescent="0.25">
      <c r="F736" s="4"/>
    </row>
    <row r="737" spans="6:6" ht="13.2" x14ac:dyDescent="0.25">
      <c r="F737" s="4"/>
    </row>
    <row r="738" spans="6:6" ht="13.2" x14ac:dyDescent="0.25">
      <c r="F738" s="4"/>
    </row>
    <row r="739" spans="6:6" ht="13.2" x14ac:dyDescent="0.25">
      <c r="F739" s="4"/>
    </row>
    <row r="740" spans="6:6" ht="13.2" x14ac:dyDescent="0.25">
      <c r="F740" s="4"/>
    </row>
    <row r="741" spans="6:6" ht="13.2" x14ac:dyDescent="0.25">
      <c r="F741" s="4"/>
    </row>
    <row r="742" spans="6:6" ht="13.2" x14ac:dyDescent="0.25">
      <c r="F742" s="4"/>
    </row>
    <row r="743" spans="6:6" ht="13.2" x14ac:dyDescent="0.25">
      <c r="F743" s="4"/>
    </row>
    <row r="744" spans="6:6" ht="13.2" x14ac:dyDescent="0.25">
      <c r="F744" s="4"/>
    </row>
    <row r="745" spans="6:6" ht="13.2" x14ac:dyDescent="0.25">
      <c r="F745" s="4"/>
    </row>
    <row r="746" spans="6:6" ht="13.2" x14ac:dyDescent="0.25">
      <c r="F746" s="4"/>
    </row>
    <row r="747" spans="6:6" ht="13.2" x14ac:dyDescent="0.25">
      <c r="F747" s="4"/>
    </row>
    <row r="748" spans="6:6" ht="13.2" x14ac:dyDescent="0.25">
      <c r="F748" s="4"/>
    </row>
    <row r="749" spans="6:6" ht="13.2" x14ac:dyDescent="0.25">
      <c r="F749" s="4"/>
    </row>
    <row r="750" spans="6:6" ht="13.2" x14ac:dyDescent="0.25">
      <c r="F750" s="4"/>
    </row>
    <row r="751" spans="6:6" ht="13.2" x14ac:dyDescent="0.25">
      <c r="F751" s="4"/>
    </row>
    <row r="752" spans="6:6" ht="13.2" x14ac:dyDescent="0.25">
      <c r="F752" s="4"/>
    </row>
    <row r="753" spans="6:6" ht="13.2" x14ac:dyDescent="0.25">
      <c r="F753" s="4"/>
    </row>
    <row r="754" spans="6:6" ht="13.2" x14ac:dyDescent="0.25">
      <c r="F754" s="4"/>
    </row>
    <row r="755" spans="6:6" ht="13.2" x14ac:dyDescent="0.25">
      <c r="F755" s="4"/>
    </row>
    <row r="756" spans="6:6" ht="13.2" x14ac:dyDescent="0.25">
      <c r="F756" s="4"/>
    </row>
    <row r="757" spans="6:6" ht="13.2" x14ac:dyDescent="0.25">
      <c r="F757" s="4"/>
    </row>
    <row r="758" spans="6:6" ht="13.2" x14ac:dyDescent="0.25">
      <c r="F758" s="4"/>
    </row>
    <row r="759" spans="6:6" ht="13.2" x14ac:dyDescent="0.25">
      <c r="F759" s="4"/>
    </row>
    <row r="760" spans="6:6" ht="13.2" x14ac:dyDescent="0.25">
      <c r="F760" s="4"/>
    </row>
    <row r="761" spans="6:6" ht="13.2" x14ac:dyDescent="0.25">
      <c r="F761" s="4"/>
    </row>
    <row r="762" spans="6:6" ht="13.2" x14ac:dyDescent="0.25">
      <c r="F762" s="4"/>
    </row>
    <row r="763" spans="6:6" ht="13.2" x14ac:dyDescent="0.25">
      <c r="F763" s="4"/>
    </row>
    <row r="764" spans="6:6" ht="13.2" x14ac:dyDescent="0.25">
      <c r="F764" s="4"/>
    </row>
    <row r="765" spans="6:6" ht="13.2" x14ac:dyDescent="0.25">
      <c r="F765" s="4"/>
    </row>
    <row r="766" spans="6:6" ht="13.2" x14ac:dyDescent="0.25">
      <c r="F766" s="4"/>
    </row>
    <row r="767" spans="6:6" ht="13.2" x14ac:dyDescent="0.25">
      <c r="F767" s="4"/>
    </row>
    <row r="768" spans="6:6" ht="13.2" x14ac:dyDescent="0.25">
      <c r="F768" s="4"/>
    </row>
    <row r="769" spans="6:6" ht="13.2" x14ac:dyDescent="0.25">
      <c r="F769" s="4"/>
    </row>
    <row r="770" spans="6:6" ht="13.2" x14ac:dyDescent="0.25">
      <c r="F770" s="4"/>
    </row>
    <row r="771" spans="6:6" ht="13.2" x14ac:dyDescent="0.25">
      <c r="F771" s="4"/>
    </row>
    <row r="772" spans="6:6" ht="13.2" x14ac:dyDescent="0.25">
      <c r="F772" s="4"/>
    </row>
    <row r="773" spans="6:6" ht="13.2" x14ac:dyDescent="0.25">
      <c r="F773" s="4"/>
    </row>
    <row r="774" spans="6:6" ht="13.2" x14ac:dyDescent="0.25">
      <c r="F774" s="4"/>
    </row>
    <row r="775" spans="6:6" ht="13.2" x14ac:dyDescent="0.25">
      <c r="F775" s="4"/>
    </row>
    <row r="776" spans="6:6" ht="13.2" x14ac:dyDescent="0.25">
      <c r="F776" s="4"/>
    </row>
    <row r="777" spans="6:6" ht="13.2" x14ac:dyDescent="0.25">
      <c r="F777" s="4"/>
    </row>
    <row r="778" spans="6:6" ht="13.2" x14ac:dyDescent="0.25">
      <c r="F778" s="4"/>
    </row>
    <row r="779" spans="6:6" ht="13.2" x14ac:dyDescent="0.25">
      <c r="F779" s="4"/>
    </row>
    <row r="780" spans="6:6" ht="13.2" x14ac:dyDescent="0.25">
      <c r="F780" s="4"/>
    </row>
    <row r="781" spans="6:6" ht="13.2" x14ac:dyDescent="0.25">
      <c r="F781" s="4"/>
    </row>
    <row r="782" spans="6:6" ht="13.2" x14ac:dyDescent="0.25">
      <c r="F782" s="4"/>
    </row>
    <row r="783" spans="6:6" ht="13.2" x14ac:dyDescent="0.25">
      <c r="F783" s="4"/>
    </row>
    <row r="784" spans="6:6" ht="13.2" x14ac:dyDescent="0.25">
      <c r="F784" s="4"/>
    </row>
    <row r="785" spans="6:6" ht="13.2" x14ac:dyDescent="0.25">
      <c r="F785" s="4"/>
    </row>
    <row r="786" spans="6:6" ht="13.2" x14ac:dyDescent="0.25">
      <c r="F786" s="4"/>
    </row>
    <row r="787" spans="6:6" ht="13.2" x14ac:dyDescent="0.25">
      <c r="F787" s="4"/>
    </row>
    <row r="788" spans="6:6" ht="13.2" x14ac:dyDescent="0.25">
      <c r="F788" s="4"/>
    </row>
    <row r="789" spans="6:6" ht="13.2" x14ac:dyDescent="0.25">
      <c r="F789" s="4"/>
    </row>
    <row r="790" spans="6:6" ht="13.2" x14ac:dyDescent="0.25">
      <c r="F790" s="4"/>
    </row>
    <row r="791" spans="6:6" ht="13.2" x14ac:dyDescent="0.25">
      <c r="F791" s="4"/>
    </row>
    <row r="792" spans="6:6" ht="13.2" x14ac:dyDescent="0.25">
      <c r="F792" s="4"/>
    </row>
    <row r="793" spans="6:6" ht="13.2" x14ac:dyDescent="0.25">
      <c r="F793" s="4"/>
    </row>
    <row r="794" spans="6:6" ht="13.2" x14ac:dyDescent="0.25">
      <c r="F794" s="4"/>
    </row>
    <row r="795" spans="6:6" ht="13.2" x14ac:dyDescent="0.25">
      <c r="F795" s="4"/>
    </row>
    <row r="796" spans="6:6" ht="13.2" x14ac:dyDescent="0.25">
      <c r="F796" s="4"/>
    </row>
    <row r="797" spans="6:6" ht="13.2" x14ac:dyDescent="0.25">
      <c r="F797" s="4"/>
    </row>
    <row r="798" spans="6:6" ht="13.2" x14ac:dyDescent="0.25">
      <c r="F798" s="4"/>
    </row>
    <row r="799" spans="6:6" ht="13.2" x14ac:dyDescent="0.25">
      <c r="F799" s="4"/>
    </row>
    <row r="800" spans="6:6" ht="13.2" x14ac:dyDescent="0.25">
      <c r="F800" s="4"/>
    </row>
    <row r="801" spans="6:6" ht="13.2" x14ac:dyDescent="0.25">
      <c r="F801" s="4"/>
    </row>
    <row r="802" spans="6:6" ht="13.2" x14ac:dyDescent="0.25">
      <c r="F802" s="4"/>
    </row>
    <row r="803" spans="6:6" ht="13.2" x14ac:dyDescent="0.25">
      <c r="F803" s="4"/>
    </row>
    <row r="804" spans="6:6" ht="13.2" x14ac:dyDescent="0.25">
      <c r="F804" s="4"/>
    </row>
    <row r="805" spans="6:6" ht="13.2" x14ac:dyDescent="0.25">
      <c r="F805" s="4"/>
    </row>
    <row r="806" spans="6:6" ht="13.2" x14ac:dyDescent="0.25">
      <c r="F806" s="4"/>
    </row>
    <row r="807" spans="6:6" ht="13.2" x14ac:dyDescent="0.25">
      <c r="F807" s="4"/>
    </row>
    <row r="808" spans="6:6" ht="13.2" x14ac:dyDescent="0.25">
      <c r="F808" s="4"/>
    </row>
    <row r="809" spans="6:6" ht="13.2" x14ac:dyDescent="0.25">
      <c r="F809" s="4"/>
    </row>
    <row r="810" spans="6:6" ht="13.2" x14ac:dyDescent="0.25">
      <c r="F810" s="4"/>
    </row>
    <row r="811" spans="6:6" ht="13.2" x14ac:dyDescent="0.25">
      <c r="F811" s="4"/>
    </row>
    <row r="812" spans="6:6" ht="13.2" x14ac:dyDescent="0.25">
      <c r="F812" s="4"/>
    </row>
    <row r="813" spans="6:6" ht="13.2" x14ac:dyDescent="0.25">
      <c r="F813" s="4"/>
    </row>
    <row r="814" spans="6:6" ht="13.2" x14ac:dyDescent="0.25">
      <c r="F814" s="4"/>
    </row>
    <row r="815" spans="6:6" ht="13.2" x14ac:dyDescent="0.25">
      <c r="F815" s="4"/>
    </row>
    <row r="816" spans="6:6" ht="13.2" x14ac:dyDescent="0.25">
      <c r="F816" s="4"/>
    </row>
    <row r="817" spans="6:6" ht="13.2" x14ac:dyDescent="0.25">
      <c r="F817" s="4"/>
    </row>
    <row r="818" spans="6:6" ht="13.2" x14ac:dyDescent="0.25">
      <c r="F818" s="4"/>
    </row>
    <row r="819" spans="6:6" ht="13.2" x14ac:dyDescent="0.25">
      <c r="F819" s="4"/>
    </row>
    <row r="820" spans="6:6" ht="13.2" x14ac:dyDescent="0.25">
      <c r="F820" s="4"/>
    </row>
    <row r="821" spans="6:6" ht="13.2" x14ac:dyDescent="0.25">
      <c r="F821" s="4"/>
    </row>
    <row r="822" spans="6:6" ht="13.2" x14ac:dyDescent="0.25">
      <c r="F822" s="4"/>
    </row>
    <row r="823" spans="6:6" ht="13.2" x14ac:dyDescent="0.25">
      <c r="F823" s="4"/>
    </row>
    <row r="824" spans="6:6" ht="13.2" x14ac:dyDescent="0.25">
      <c r="F824" s="4"/>
    </row>
    <row r="825" spans="6:6" ht="13.2" x14ac:dyDescent="0.25">
      <c r="F825" s="4"/>
    </row>
    <row r="826" spans="6:6" ht="13.2" x14ac:dyDescent="0.25">
      <c r="F826" s="4"/>
    </row>
    <row r="827" spans="6:6" ht="13.2" x14ac:dyDescent="0.25">
      <c r="F827" s="4"/>
    </row>
    <row r="828" spans="6:6" ht="13.2" x14ac:dyDescent="0.25">
      <c r="F828" s="4"/>
    </row>
    <row r="829" spans="6:6" ht="13.2" x14ac:dyDescent="0.25">
      <c r="F829" s="4"/>
    </row>
    <row r="830" spans="6:6" ht="13.2" x14ac:dyDescent="0.25">
      <c r="F830" s="4"/>
    </row>
    <row r="831" spans="6:6" ht="13.2" x14ac:dyDescent="0.25">
      <c r="F831" s="4"/>
    </row>
    <row r="832" spans="6:6" ht="13.2" x14ac:dyDescent="0.25">
      <c r="F832" s="4"/>
    </row>
    <row r="833" spans="6:6" ht="13.2" x14ac:dyDescent="0.25">
      <c r="F833" s="4"/>
    </row>
    <row r="834" spans="6:6" ht="13.2" x14ac:dyDescent="0.25">
      <c r="F834" s="4"/>
    </row>
    <row r="835" spans="6:6" ht="13.2" x14ac:dyDescent="0.25">
      <c r="F835" s="4"/>
    </row>
    <row r="836" spans="6:6" ht="13.2" x14ac:dyDescent="0.25">
      <c r="F836" s="4"/>
    </row>
    <row r="837" spans="6:6" ht="13.2" x14ac:dyDescent="0.25">
      <c r="F837" s="4"/>
    </row>
    <row r="838" spans="6:6" ht="13.2" x14ac:dyDescent="0.25">
      <c r="F838" s="4"/>
    </row>
    <row r="839" spans="6:6" ht="13.2" x14ac:dyDescent="0.25">
      <c r="F839" s="4"/>
    </row>
    <row r="840" spans="6:6" ht="13.2" x14ac:dyDescent="0.25">
      <c r="F840" s="4"/>
    </row>
    <row r="841" spans="6:6" ht="13.2" x14ac:dyDescent="0.25">
      <c r="F841" s="4"/>
    </row>
    <row r="842" spans="6:6" ht="13.2" x14ac:dyDescent="0.25">
      <c r="F842" s="4"/>
    </row>
    <row r="843" spans="6:6" ht="13.2" x14ac:dyDescent="0.25">
      <c r="F843" s="4"/>
    </row>
    <row r="844" spans="6:6" ht="13.2" x14ac:dyDescent="0.25">
      <c r="F844" s="4"/>
    </row>
    <row r="845" spans="6:6" ht="13.2" x14ac:dyDescent="0.25">
      <c r="F845" s="4"/>
    </row>
    <row r="846" spans="6:6" ht="13.2" x14ac:dyDescent="0.25">
      <c r="F846" s="4"/>
    </row>
    <row r="847" spans="6:6" ht="13.2" x14ac:dyDescent="0.25">
      <c r="F847" s="4"/>
    </row>
    <row r="848" spans="6:6" ht="13.2" x14ac:dyDescent="0.25">
      <c r="F848" s="4"/>
    </row>
    <row r="849" spans="6:6" ht="13.2" x14ac:dyDescent="0.25">
      <c r="F849" s="4"/>
    </row>
    <row r="850" spans="6:6" ht="13.2" x14ac:dyDescent="0.25">
      <c r="F850" s="4"/>
    </row>
    <row r="851" spans="6:6" ht="13.2" x14ac:dyDescent="0.25">
      <c r="F851" s="4"/>
    </row>
    <row r="852" spans="6:6" ht="13.2" x14ac:dyDescent="0.25">
      <c r="F852" s="4"/>
    </row>
    <row r="853" spans="6:6" ht="13.2" x14ac:dyDescent="0.25">
      <c r="F853" s="4"/>
    </row>
    <row r="854" spans="6:6" ht="13.2" x14ac:dyDescent="0.25">
      <c r="F854" s="4"/>
    </row>
    <row r="855" spans="6:6" ht="13.2" x14ac:dyDescent="0.25">
      <c r="F855" s="4"/>
    </row>
    <row r="856" spans="6:6" ht="13.2" x14ac:dyDescent="0.25">
      <c r="F856" s="4"/>
    </row>
    <row r="857" spans="6:6" ht="13.2" x14ac:dyDescent="0.25">
      <c r="F857" s="4"/>
    </row>
    <row r="858" spans="6:6" ht="13.2" x14ac:dyDescent="0.25">
      <c r="F858" s="4"/>
    </row>
    <row r="859" spans="6:6" ht="13.2" x14ac:dyDescent="0.25">
      <c r="F859" s="4"/>
    </row>
    <row r="860" spans="6:6" ht="13.2" x14ac:dyDescent="0.25">
      <c r="F860" s="4"/>
    </row>
    <row r="861" spans="6:6" ht="13.2" x14ac:dyDescent="0.25">
      <c r="F861" s="4"/>
    </row>
    <row r="862" spans="6:6" ht="13.2" x14ac:dyDescent="0.25">
      <c r="F862" s="4"/>
    </row>
    <row r="863" spans="6:6" ht="13.2" x14ac:dyDescent="0.25">
      <c r="F863" s="4"/>
    </row>
    <row r="864" spans="6:6" ht="13.2" x14ac:dyDescent="0.25">
      <c r="F864" s="4"/>
    </row>
    <row r="865" spans="6:6" ht="13.2" x14ac:dyDescent="0.25">
      <c r="F865" s="4"/>
    </row>
    <row r="866" spans="6:6" ht="13.2" x14ac:dyDescent="0.25">
      <c r="F866" s="4"/>
    </row>
    <row r="867" spans="6:6" ht="13.2" x14ac:dyDescent="0.25">
      <c r="F867" s="4"/>
    </row>
    <row r="868" spans="6:6" ht="13.2" x14ac:dyDescent="0.25">
      <c r="F868" s="4"/>
    </row>
    <row r="869" spans="6:6" ht="13.2" x14ac:dyDescent="0.25">
      <c r="F869" s="4"/>
    </row>
    <row r="870" spans="6:6" ht="13.2" x14ac:dyDescent="0.25">
      <c r="F870" s="4"/>
    </row>
    <row r="871" spans="6:6" ht="13.2" x14ac:dyDescent="0.25">
      <c r="F871" s="4"/>
    </row>
    <row r="872" spans="6:6" ht="13.2" x14ac:dyDescent="0.25">
      <c r="F872" s="4"/>
    </row>
    <row r="873" spans="6:6" ht="13.2" x14ac:dyDescent="0.25">
      <c r="F873" s="4"/>
    </row>
    <row r="874" spans="6:6" ht="13.2" x14ac:dyDescent="0.25">
      <c r="F874" s="4"/>
    </row>
    <row r="875" spans="6:6" ht="13.2" x14ac:dyDescent="0.25">
      <c r="F875" s="4"/>
    </row>
    <row r="876" spans="6:6" ht="13.2" x14ac:dyDescent="0.25">
      <c r="F876" s="4"/>
    </row>
    <row r="877" spans="6:6" ht="13.2" x14ac:dyDescent="0.25">
      <c r="F877" s="4"/>
    </row>
    <row r="878" spans="6:6" ht="13.2" x14ac:dyDescent="0.25">
      <c r="F878" s="4"/>
    </row>
    <row r="879" spans="6:6" ht="13.2" x14ac:dyDescent="0.25">
      <c r="F879" s="4"/>
    </row>
    <row r="880" spans="6:6" ht="13.2" x14ac:dyDescent="0.25">
      <c r="F880" s="4"/>
    </row>
    <row r="881" spans="6:6" ht="13.2" x14ac:dyDescent="0.25">
      <c r="F881" s="4"/>
    </row>
    <row r="882" spans="6:6" ht="13.2" x14ac:dyDescent="0.25">
      <c r="F882" s="4"/>
    </row>
    <row r="883" spans="6:6" ht="13.2" x14ac:dyDescent="0.25">
      <c r="F883" s="4"/>
    </row>
    <row r="884" spans="6:6" ht="13.2" x14ac:dyDescent="0.25">
      <c r="F884" s="4"/>
    </row>
    <row r="885" spans="6:6" ht="13.2" x14ac:dyDescent="0.25">
      <c r="F885" s="4"/>
    </row>
    <row r="886" spans="6:6" ht="13.2" x14ac:dyDescent="0.25">
      <c r="F886" s="4"/>
    </row>
    <row r="887" spans="6:6" ht="13.2" x14ac:dyDescent="0.25">
      <c r="F887" s="4"/>
    </row>
    <row r="888" spans="6:6" ht="13.2" x14ac:dyDescent="0.25">
      <c r="F888" s="4"/>
    </row>
    <row r="889" spans="6:6" ht="13.2" x14ac:dyDescent="0.25">
      <c r="F889" s="4"/>
    </row>
    <row r="890" spans="6:6" ht="13.2" x14ac:dyDescent="0.25">
      <c r="F890" s="4"/>
    </row>
    <row r="891" spans="6:6" ht="13.2" x14ac:dyDescent="0.25">
      <c r="F891" s="4"/>
    </row>
    <row r="892" spans="6:6" ht="13.2" x14ac:dyDescent="0.25">
      <c r="F892" s="4"/>
    </row>
    <row r="893" spans="6:6" ht="13.2" x14ac:dyDescent="0.25">
      <c r="F893" s="4"/>
    </row>
    <row r="894" spans="6:6" ht="13.2" x14ac:dyDescent="0.25">
      <c r="F894" s="4"/>
    </row>
    <row r="895" spans="6:6" ht="13.2" x14ac:dyDescent="0.25">
      <c r="F895" s="4"/>
    </row>
    <row r="896" spans="6:6" ht="13.2" x14ac:dyDescent="0.25">
      <c r="F896" s="4"/>
    </row>
    <row r="897" spans="6:6" ht="13.2" x14ac:dyDescent="0.25">
      <c r="F897" s="4"/>
    </row>
    <row r="898" spans="6:6" ht="13.2" x14ac:dyDescent="0.25">
      <c r="F898" s="4"/>
    </row>
    <row r="899" spans="6:6" ht="13.2" x14ac:dyDescent="0.25">
      <c r="F899" s="4"/>
    </row>
    <row r="900" spans="6:6" ht="13.2" x14ac:dyDescent="0.25">
      <c r="F900" s="4"/>
    </row>
    <row r="901" spans="6:6" ht="13.2" x14ac:dyDescent="0.25">
      <c r="F901" s="4"/>
    </row>
    <row r="902" spans="6:6" ht="13.2" x14ac:dyDescent="0.25">
      <c r="F902" s="4"/>
    </row>
    <row r="903" spans="6:6" ht="13.2" x14ac:dyDescent="0.25">
      <c r="F903" s="4"/>
    </row>
    <row r="904" spans="6:6" ht="13.2" x14ac:dyDescent="0.25">
      <c r="F904" s="4"/>
    </row>
    <row r="905" spans="6:6" ht="13.2" x14ac:dyDescent="0.25">
      <c r="F905" s="4"/>
    </row>
    <row r="906" spans="6:6" ht="13.2" x14ac:dyDescent="0.25">
      <c r="F906" s="4"/>
    </row>
    <row r="907" spans="6:6" ht="13.2" x14ac:dyDescent="0.25">
      <c r="F907" s="4"/>
    </row>
    <row r="908" spans="6:6" ht="13.2" x14ac:dyDescent="0.25">
      <c r="F908" s="4"/>
    </row>
    <row r="909" spans="6:6" ht="13.2" x14ac:dyDescent="0.25">
      <c r="F909" s="4"/>
    </row>
    <row r="910" spans="6:6" ht="13.2" x14ac:dyDescent="0.25">
      <c r="F910" s="4"/>
    </row>
    <row r="911" spans="6:6" ht="13.2" x14ac:dyDescent="0.25">
      <c r="F911" s="4"/>
    </row>
    <row r="912" spans="6:6" ht="13.2" x14ac:dyDescent="0.25">
      <c r="F912" s="4"/>
    </row>
    <row r="913" spans="6:6" ht="13.2" x14ac:dyDescent="0.25">
      <c r="F913" s="4"/>
    </row>
    <row r="914" spans="6:6" ht="13.2" x14ac:dyDescent="0.25">
      <c r="F914" s="4"/>
    </row>
    <row r="915" spans="6:6" ht="13.2" x14ac:dyDescent="0.25">
      <c r="F915" s="4"/>
    </row>
    <row r="916" spans="6:6" ht="13.2" x14ac:dyDescent="0.25">
      <c r="F916" s="4"/>
    </row>
    <row r="917" spans="6:6" ht="13.2" x14ac:dyDescent="0.25">
      <c r="F917" s="4"/>
    </row>
    <row r="918" spans="6:6" ht="13.2" x14ac:dyDescent="0.25">
      <c r="F918" s="4"/>
    </row>
    <row r="919" spans="6:6" ht="13.2" x14ac:dyDescent="0.25">
      <c r="F919" s="4"/>
    </row>
    <row r="920" spans="6:6" ht="13.2" x14ac:dyDescent="0.25">
      <c r="F920" s="4"/>
    </row>
    <row r="921" spans="6:6" ht="13.2" x14ac:dyDescent="0.25">
      <c r="F921" s="4"/>
    </row>
    <row r="922" spans="6:6" ht="13.2" x14ac:dyDescent="0.25">
      <c r="F922" s="4"/>
    </row>
    <row r="923" spans="6:6" ht="13.2" x14ac:dyDescent="0.25">
      <c r="F923" s="4"/>
    </row>
    <row r="924" spans="6:6" ht="13.2" x14ac:dyDescent="0.25">
      <c r="F924" s="4"/>
    </row>
    <row r="925" spans="6:6" ht="13.2" x14ac:dyDescent="0.25">
      <c r="F925" s="4"/>
    </row>
    <row r="926" spans="6:6" ht="13.2" x14ac:dyDescent="0.25">
      <c r="F926" s="4"/>
    </row>
    <row r="927" spans="6:6" ht="13.2" x14ac:dyDescent="0.25">
      <c r="F927" s="4"/>
    </row>
    <row r="928" spans="6:6" ht="13.2" x14ac:dyDescent="0.25">
      <c r="F928" s="4"/>
    </row>
    <row r="929" spans="6:6" ht="13.2" x14ac:dyDescent="0.25">
      <c r="F929" s="4"/>
    </row>
    <row r="930" spans="6:6" ht="13.2" x14ac:dyDescent="0.25">
      <c r="F930" s="4"/>
    </row>
    <row r="931" spans="6:6" ht="13.2" x14ac:dyDescent="0.25">
      <c r="F931" s="4"/>
    </row>
    <row r="932" spans="6:6" ht="13.2" x14ac:dyDescent="0.25">
      <c r="F932" s="4"/>
    </row>
    <row r="933" spans="6:6" ht="13.2" x14ac:dyDescent="0.25">
      <c r="F933" s="4"/>
    </row>
    <row r="934" spans="6:6" ht="13.2" x14ac:dyDescent="0.25">
      <c r="F934" s="4"/>
    </row>
    <row r="935" spans="6:6" ht="13.2" x14ac:dyDescent="0.25">
      <c r="F935" s="4"/>
    </row>
    <row r="936" spans="6:6" ht="13.2" x14ac:dyDescent="0.25">
      <c r="F936" s="4"/>
    </row>
    <row r="937" spans="6:6" ht="13.2" x14ac:dyDescent="0.25">
      <c r="F937" s="4"/>
    </row>
    <row r="938" spans="6:6" ht="13.2" x14ac:dyDescent="0.25">
      <c r="F938" s="4"/>
    </row>
    <row r="939" spans="6:6" ht="13.2" x14ac:dyDescent="0.25">
      <c r="F939" s="4"/>
    </row>
    <row r="940" spans="6:6" ht="13.2" x14ac:dyDescent="0.25">
      <c r="F940" s="4"/>
    </row>
    <row r="941" spans="6:6" ht="13.2" x14ac:dyDescent="0.25">
      <c r="F941" s="4"/>
    </row>
    <row r="942" spans="6:6" ht="13.2" x14ac:dyDescent="0.25">
      <c r="F942" s="4"/>
    </row>
    <row r="943" spans="6:6" ht="13.2" x14ac:dyDescent="0.25">
      <c r="F943" s="4"/>
    </row>
    <row r="944" spans="6:6" ht="13.2" x14ac:dyDescent="0.25">
      <c r="F944" s="4"/>
    </row>
    <row r="945" spans="6:6" ht="13.2" x14ac:dyDescent="0.25">
      <c r="F945" s="4"/>
    </row>
    <row r="946" spans="6:6" ht="13.2" x14ac:dyDescent="0.25">
      <c r="F946" s="4"/>
    </row>
    <row r="947" spans="6:6" ht="13.2" x14ac:dyDescent="0.25">
      <c r="F947" s="4"/>
    </row>
    <row r="948" spans="6:6" ht="13.2" x14ac:dyDescent="0.25">
      <c r="F948" s="4"/>
    </row>
    <row r="949" spans="6:6" ht="13.2" x14ac:dyDescent="0.25">
      <c r="F949" s="4"/>
    </row>
    <row r="950" spans="6:6" ht="13.2" x14ac:dyDescent="0.25">
      <c r="F950" s="4"/>
    </row>
    <row r="951" spans="6:6" ht="13.2" x14ac:dyDescent="0.25">
      <c r="F951" s="4"/>
    </row>
    <row r="952" spans="6:6" ht="13.2" x14ac:dyDescent="0.25">
      <c r="F952" s="4"/>
    </row>
    <row r="953" spans="6:6" ht="13.2" x14ac:dyDescent="0.25">
      <c r="F953" s="4"/>
    </row>
    <row r="954" spans="6:6" ht="13.2" x14ac:dyDescent="0.25">
      <c r="F954" s="4"/>
    </row>
    <row r="955" spans="6:6" ht="13.2" x14ac:dyDescent="0.25">
      <c r="F955" s="4"/>
    </row>
    <row r="956" spans="6:6" ht="13.2" x14ac:dyDescent="0.25">
      <c r="F956" s="4"/>
    </row>
    <row r="957" spans="6:6" ht="13.2" x14ac:dyDescent="0.25">
      <c r="F957" s="4"/>
    </row>
    <row r="958" spans="6:6" ht="13.2" x14ac:dyDescent="0.25">
      <c r="F958" s="4"/>
    </row>
    <row r="959" spans="6:6" ht="13.2" x14ac:dyDescent="0.25">
      <c r="F959" s="4"/>
    </row>
    <row r="960" spans="6:6" ht="13.2" x14ac:dyDescent="0.25">
      <c r="F960" s="4"/>
    </row>
    <row r="961" spans="6:6" ht="13.2" x14ac:dyDescent="0.25">
      <c r="F961" s="4"/>
    </row>
    <row r="962" spans="6:6" ht="13.2" x14ac:dyDescent="0.25">
      <c r="F962" s="4"/>
    </row>
    <row r="963" spans="6:6" ht="13.2" x14ac:dyDescent="0.25">
      <c r="F963" s="4"/>
    </row>
    <row r="964" spans="6:6" ht="13.2" x14ac:dyDescent="0.25">
      <c r="F964" s="4"/>
    </row>
    <row r="965" spans="6:6" ht="13.2" x14ac:dyDescent="0.25">
      <c r="F965" s="4"/>
    </row>
    <row r="966" spans="6:6" ht="13.2" x14ac:dyDescent="0.25">
      <c r="F966" s="4"/>
    </row>
    <row r="967" spans="6:6" ht="13.2" x14ac:dyDescent="0.25">
      <c r="F967" s="4"/>
    </row>
    <row r="968" spans="6:6" ht="13.2" x14ac:dyDescent="0.25">
      <c r="F968" s="4"/>
    </row>
    <row r="969" spans="6:6" ht="13.2" x14ac:dyDescent="0.25">
      <c r="F969" s="4"/>
    </row>
    <row r="970" spans="6:6" ht="13.2" x14ac:dyDescent="0.25">
      <c r="F970" s="4"/>
    </row>
    <row r="971" spans="6:6" ht="13.2" x14ac:dyDescent="0.25">
      <c r="F971" s="4"/>
    </row>
    <row r="972" spans="6:6" ht="13.2" x14ac:dyDescent="0.25">
      <c r="F972" s="4"/>
    </row>
    <row r="973" spans="6:6" ht="13.2" x14ac:dyDescent="0.25">
      <c r="F973" s="4"/>
    </row>
    <row r="974" spans="6:6" ht="13.2" x14ac:dyDescent="0.25">
      <c r="F974" s="4"/>
    </row>
    <row r="975" spans="6:6" ht="13.2" x14ac:dyDescent="0.25">
      <c r="F975" s="4"/>
    </row>
    <row r="976" spans="6:6" ht="13.2" x14ac:dyDescent="0.25">
      <c r="F976" s="4"/>
    </row>
    <row r="977" spans="6:6" ht="13.2" x14ac:dyDescent="0.25">
      <c r="F977" s="4"/>
    </row>
  </sheetData>
  <phoneticPr fontId="3" type="noConversion"/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70C43-C9F8-42F8-98EE-1E7DF809C2DD}">
  <sheetPr>
    <outlinePr summaryBelow="0" summaryRight="0"/>
  </sheetPr>
  <dimension ref="A1:G26"/>
  <sheetViews>
    <sheetView workbookViewId="0">
      <selection activeCell="D27" sqref="D27"/>
    </sheetView>
  </sheetViews>
  <sheetFormatPr defaultColWidth="12.77734375" defaultRowHeight="15.75" customHeight="1" x14ac:dyDescent="0.25"/>
  <cols>
    <col min="1" max="1" width="7.21875" customWidth="1"/>
    <col min="2" max="2" width="18.77734375" customWidth="1"/>
    <col min="3" max="3" width="6.77734375" customWidth="1"/>
    <col min="4" max="4" width="44.44140625" customWidth="1"/>
    <col min="5" max="5" width="21.77734375" customWidth="1"/>
    <col min="6" max="6" width="11.21875" customWidth="1"/>
    <col min="7" max="7" width="6.77734375" style="128" customWidth="1"/>
    <col min="8" max="8" width="40" customWidth="1"/>
  </cols>
  <sheetData>
    <row r="1" spans="1:7" ht="15.75" customHeight="1" x14ac:dyDescent="0.25">
      <c r="A1" s="102" t="s">
        <v>0</v>
      </c>
      <c r="B1" s="103" t="s">
        <v>1</v>
      </c>
      <c r="C1" s="103" t="s">
        <v>2</v>
      </c>
      <c r="D1" s="103" t="s">
        <v>3</v>
      </c>
      <c r="E1" s="103" t="s">
        <v>4</v>
      </c>
      <c r="F1" s="103" t="s">
        <v>5</v>
      </c>
      <c r="G1" s="117" t="s">
        <v>6</v>
      </c>
    </row>
    <row r="2" spans="1:7" ht="13.2" x14ac:dyDescent="0.25">
      <c r="A2" s="42">
        <f ca="1">IFERROR(__xludf.DUMMYFUNCTION("""COMPUTED_VALUE"""),283)</f>
        <v>283</v>
      </c>
      <c r="B2" s="40" t="str">
        <f ca="1">IFERROR(__xludf.DUMMYFUNCTION("""COMPUTED_VALUE"""),"Smolová Viktorie")</f>
        <v>Smolová Viktorie</v>
      </c>
      <c r="C2" s="40">
        <f ca="1">IFERROR(__xludf.DUMMYFUNCTION("""COMPUTED_VALUE"""),2017)</f>
        <v>2017</v>
      </c>
      <c r="D2" s="38" t="str">
        <f ca="1">IFERROR(__xludf.DUMMYFUNCTION("""COMPUTED_VALUE"""),"Mladší přípravka - DÍVKY - ročník 2017-2018 (600m)")</f>
        <v>Mladší přípravka - DÍVKY - ročník 2017-2018 (600m)</v>
      </c>
      <c r="E2" s="40" t="str">
        <f ca="1">IFERROR(__xludf.DUMMYFUNCTION("""COMPUTED_VALUE"""),"Atletika Kyšice")</f>
        <v>Atletika Kyšice</v>
      </c>
      <c r="F2" s="39">
        <v>0.10347222222222222</v>
      </c>
      <c r="G2" s="134" t="s">
        <v>15</v>
      </c>
    </row>
    <row r="3" spans="1:7" ht="13.2" x14ac:dyDescent="0.25">
      <c r="A3" s="42">
        <f ca="1">IFERROR(__xludf.DUMMYFUNCTION("""COMPUTED_VALUE"""),265)</f>
        <v>265</v>
      </c>
      <c r="B3" s="40" t="str">
        <f ca="1">IFERROR(__xludf.DUMMYFUNCTION("""COMPUTED_VALUE"""),"Bryndová Gabriela")</f>
        <v>Bryndová Gabriela</v>
      </c>
      <c r="C3" s="40">
        <f ca="1">IFERROR(__xludf.DUMMYFUNCTION("""COMPUTED_VALUE"""),2017)</f>
        <v>2017</v>
      </c>
      <c r="D3" s="38" t="str">
        <f ca="1">IFERROR(__xludf.DUMMYFUNCTION("""COMPUTED_VALUE"""),"Mladší přípravka - DÍVKY - ročník 2017-2018 (600m)")</f>
        <v>Mladší přípravka - DÍVKY - ročník 2017-2018 (600m)</v>
      </c>
      <c r="E3" s="40" t="str">
        <f ca="1">IFERROR(__xludf.DUMMYFUNCTION("""COMPUTED_VALUE"""),"AC Falcon Rokycany")</f>
        <v>AC Falcon Rokycany</v>
      </c>
      <c r="F3" s="39">
        <v>0.10347222222222222</v>
      </c>
      <c r="G3" s="134" t="s">
        <v>16</v>
      </c>
    </row>
    <row r="4" spans="1:7" ht="13.2" x14ac:dyDescent="0.25">
      <c r="A4" s="42">
        <f ca="1">IFERROR(__xludf.DUMMYFUNCTION("""COMPUTED_VALUE"""),210)</f>
        <v>210</v>
      </c>
      <c r="B4" s="40" t="str">
        <f ca="1">IFERROR(__xludf.DUMMYFUNCTION("""COMPUTED_VALUE"""),"Tyrnerová Nela")</f>
        <v>Tyrnerová Nela</v>
      </c>
      <c r="C4" s="40">
        <f ca="1">IFERROR(__xludf.DUMMYFUNCTION("""COMPUTED_VALUE"""),2018)</f>
        <v>2018</v>
      </c>
      <c r="D4" s="40" t="str">
        <f ca="1">IFERROR(__xludf.DUMMYFUNCTION("""COMPUTED_VALUE"""),"Mladší přípravka - DÍVKY - ročník 2017-2018 (600m)")</f>
        <v>Mladší přípravka - DÍVKY - ročník 2017-2018 (600m)</v>
      </c>
      <c r="E4" s="40" t="str">
        <f ca="1">IFERROR(__xludf.DUMMYFUNCTION("""COMPUTED_VALUE"""),"LK Škoda Plzeň")</f>
        <v>LK Škoda Plzeň</v>
      </c>
      <c r="F4" s="39">
        <v>0.10625</v>
      </c>
      <c r="G4" s="134" t="s">
        <v>18</v>
      </c>
    </row>
    <row r="5" spans="1:7" ht="13.2" x14ac:dyDescent="0.25">
      <c r="A5" s="42">
        <f ca="1">IFERROR(__xludf.DUMMYFUNCTION("""COMPUTED_VALUE"""),194)</f>
        <v>194</v>
      </c>
      <c r="B5" s="40" t="str">
        <f ca="1">IFERROR(__xludf.DUMMYFUNCTION("""COMPUTED_VALUE"""),"Hlaváčiková Josefína")</f>
        <v>Hlaváčiková Josefína</v>
      </c>
      <c r="C5" s="40">
        <f ca="1">IFERROR(__xludf.DUMMYFUNCTION("""COMPUTED_VALUE"""),2018)</f>
        <v>2018</v>
      </c>
      <c r="D5" s="38" t="str">
        <f ca="1">IFERROR(__xludf.DUMMYFUNCTION("""COMPUTED_VALUE"""),"Mladší přípravka - DÍVKY - ročník 2017-2018 (600m)")</f>
        <v>Mladší přípravka - DÍVKY - ročník 2017-2018 (600m)</v>
      </c>
      <c r="E5" s="40" t="str">
        <f ca="1">IFERROR(__xludf.DUMMYFUNCTION("""COMPUTED_VALUE"""),"TJ Baník Stříbro")</f>
        <v>TJ Baník Stříbro</v>
      </c>
      <c r="F5" s="39">
        <v>0.1076388888888889</v>
      </c>
      <c r="G5" s="134" t="s">
        <v>17</v>
      </c>
    </row>
    <row r="6" spans="1:7" ht="13.2" x14ac:dyDescent="0.25">
      <c r="A6" s="42">
        <f ca="1">IFERROR(__xludf.DUMMYFUNCTION("IFERROR(FILTER('Odpovědi formuláře 1'!B:H, 'Odpovědi formuláře 1'!F:F=""Mladší přípravka - DÍVKY - ročník 2017-2018 (600m)""), """")"),228)</f>
        <v>228</v>
      </c>
      <c r="B6" s="40" t="str">
        <f ca="1">IFERROR(__xludf.DUMMYFUNCTION("""COMPUTED_VALUE"""),"Julie Šilhánková")</f>
        <v>Julie Šilhánková</v>
      </c>
      <c r="C6" s="40">
        <f ca="1">IFERROR(__xludf.DUMMYFUNCTION("""COMPUTED_VALUE"""),2017)</f>
        <v>2017</v>
      </c>
      <c r="D6" s="40" t="str">
        <f ca="1">IFERROR(__xludf.DUMMYFUNCTION("""COMPUTED_VALUE"""),"Mladší přípravka - DÍVKY - ročník 2017-2018 (600m)")</f>
        <v>Mladší přípravka - DÍVKY - ročník 2017-2018 (600m)</v>
      </c>
      <c r="E6" s="40" t="str">
        <f ca="1">IFERROR(__xludf.DUMMYFUNCTION("""COMPUTED_VALUE"""),"Aktiv Sport Horšovský Týn")</f>
        <v>Aktiv Sport Horšovský Týn</v>
      </c>
      <c r="F6" s="39">
        <v>0.10833333333333334</v>
      </c>
      <c r="G6" s="134" t="s">
        <v>19</v>
      </c>
    </row>
    <row r="7" spans="1:7" ht="13.2" x14ac:dyDescent="0.25">
      <c r="A7" s="42">
        <f ca="1">IFERROR(__xludf.DUMMYFUNCTION("""COMPUTED_VALUE"""),209)</f>
        <v>209</v>
      </c>
      <c r="B7" s="40" t="str">
        <f ca="1">IFERROR(__xludf.DUMMYFUNCTION("""COMPUTED_VALUE"""),"Ptáčková Gabriela")</f>
        <v>Ptáčková Gabriela</v>
      </c>
      <c r="C7" s="40">
        <f ca="1">IFERROR(__xludf.DUMMYFUNCTION("""COMPUTED_VALUE"""),2017)</f>
        <v>2017</v>
      </c>
      <c r="D7" s="38" t="str">
        <f ca="1">IFERROR(__xludf.DUMMYFUNCTION("""COMPUTED_VALUE"""),"Mladší přípravka - DÍVKY - ročník 2017-2018 (600m)")</f>
        <v>Mladší přípravka - DÍVKY - ročník 2017-2018 (600m)</v>
      </c>
      <c r="E7" s="40"/>
      <c r="F7" s="39">
        <v>0.11041666666666666</v>
      </c>
      <c r="G7" s="134" t="s">
        <v>20</v>
      </c>
    </row>
    <row r="8" spans="1:7" ht="13.2" x14ac:dyDescent="0.25">
      <c r="A8" s="41">
        <f ca="1">IFERROR(__xludf.DUMMYFUNCTION("""COMPUTED_VALUE"""),408)</f>
        <v>408</v>
      </c>
      <c r="B8" s="38" t="str">
        <f ca="1">IFERROR(__xludf.DUMMYFUNCTION("""COMPUTED_VALUE"""),"Žofie Bělohoubková")</f>
        <v>Žofie Bělohoubková</v>
      </c>
      <c r="C8" s="38">
        <f ca="1">IFERROR(__xludf.DUMMYFUNCTION("""COMPUTED_VALUE"""),2018)</f>
        <v>2018</v>
      </c>
      <c r="D8" s="38" t="str">
        <f ca="1">IFERROR(__xludf.DUMMYFUNCTION("""COMPUTED_VALUE"""),"Mladší přípravka - DÍVKY - ročník 2017-2018 (600m)")</f>
        <v>Mladší přípravka - DÍVKY - ročník 2017-2018 (600m)</v>
      </c>
      <c r="E8" s="38" t="str">
        <f ca="1">IFERROR(__xludf.DUMMYFUNCTION("""COMPUTED_VALUE"""),"SG Petřín")</f>
        <v>SG Petřín</v>
      </c>
      <c r="F8" s="39">
        <v>0.1111111111111111</v>
      </c>
      <c r="G8" s="134" t="s">
        <v>21</v>
      </c>
    </row>
    <row r="9" spans="1:7" ht="13.2" x14ac:dyDescent="0.25">
      <c r="A9" s="105">
        <f ca="1">IFERROR(__xludf.DUMMYFUNCTION("""COMPUTED_VALUE"""),180)</f>
        <v>180</v>
      </c>
      <c r="B9" s="40" t="str">
        <f ca="1">IFERROR(__xludf.DUMMYFUNCTION("""COMPUTED_VALUE"""),"Houšková")</f>
        <v>Houšková</v>
      </c>
      <c r="C9" s="40">
        <f ca="1">IFERROR(__xludf.DUMMYFUNCTION("""COMPUTED_VALUE"""),2018)</f>
        <v>2018</v>
      </c>
      <c r="D9" s="40" t="str">
        <f ca="1">IFERROR(__xludf.DUMMYFUNCTION("""COMPUTED_VALUE"""),"Mladší přípravka - DÍVKY - ročník 2017-2018 (600m)")</f>
        <v>Mladší přípravka - DÍVKY - ročník 2017-2018 (600m)</v>
      </c>
      <c r="E9" s="40" t="str">
        <f ca="1">IFERROR(__xludf.DUMMYFUNCTION("""COMPUTED_VALUE"""),"TJ Baník Stříbro")</f>
        <v>TJ Baník Stříbro</v>
      </c>
      <c r="F9" s="112">
        <v>0.11388888888888889</v>
      </c>
      <c r="G9" s="134" t="s">
        <v>22</v>
      </c>
    </row>
    <row r="10" spans="1:7" ht="15.75" customHeight="1" x14ac:dyDescent="0.25">
      <c r="A10" s="42">
        <f ca="1">IFERROR(__xludf.DUMMYFUNCTION("""COMPUTED_VALUE"""),226)</f>
        <v>226</v>
      </c>
      <c r="B10" s="40" t="str">
        <f ca="1">IFERROR(__xludf.DUMMYFUNCTION("""COMPUTED_VALUE"""),"Větrovcová")</f>
        <v>Větrovcová</v>
      </c>
      <c r="C10" s="40">
        <f ca="1">IFERROR(__xludf.DUMMYFUNCTION("""COMPUTED_VALUE"""),2017)</f>
        <v>2017</v>
      </c>
      <c r="D10" s="40" t="str">
        <f ca="1">IFERROR(__xludf.DUMMYFUNCTION("""COMPUTED_VALUE"""),"Mladší přípravka - DÍVKY - ročník 2017-2018 (600m)")</f>
        <v>Mladší přípravka - DÍVKY - ročník 2017-2018 (600m)</v>
      </c>
      <c r="E10" s="40" t="str">
        <f ca="1">IFERROR(__xludf.DUMMYFUNCTION("""COMPUTED_VALUE"""),"-")</f>
        <v>-</v>
      </c>
      <c r="F10" s="39">
        <v>0.11666666666666667</v>
      </c>
      <c r="G10" s="134" t="s">
        <v>23</v>
      </c>
    </row>
    <row r="11" spans="1:7" ht="13.2" x14ac:dyDescent="0.25">
      <c r="A11" s="105">
        <f ca="1">IFERROR(__xludf.DUMMYFUNCTION("""COMPUTED_VALUE"""),295)</f>
        <v>295</v>
      </c>
      <c r="B11" s="40" t="str">
        <f ca="1">IFERROR(__xludf.DUMMYFUNCTION("""COMPUTED_VALUE"""),"Nolčová Karolína ")</f>
        <v xml:space="preserve">Nolčová Karolína </v>
      </c>
      <c r="C11" s="40">
        <f ca="1">IFERROR(__xludf.DUMMYFUNCTION("""COMPUTED_VALUE"""),2017)</f>
        <v>2017</v>
      </c>
      <c r="D11" s="40" t="str">
        <f ca="1">IFERROR(__xludf.DUMMYFUNCTION("""COMPUTED_VALUE"""),"Mladší přípravka - DÍVKY - ročník 2017-2018 (600m)")</f>
        <v>Mladší přípravka - DÍVKY - ročník 2017-2018 (600m)</v>
      </c>
      <c r="E11" s="40" t="str">
        <f ca="1">IFERROR(__xludf.DUMMYFUNCTION("""COMPUTED_VALUE"""),"AC Falcon Rokycany ")</f>
        <v xml:space="preserve">AC Falcon Rokycany </v>
      </c>
      <c r="F11" s="112">
        <v>0.11736111111111111</v>
      </c>
      <c r="G11" s="134" t="s">
        <v>24</v>
      </c>
    </row>
    <row r="12" spans="1:7" ht="13.2" x14ac:dyDescent="0.25">
      <c r="A12" s="42">
        <f ca="1">IFERROR(__xludf.DUMMYFUNCTION("""COMPUTED_VALUE"""),403)</f>
        <v>403</v>
      </c>
      <c r="B12" s="40" t="str">
        <f ca="1">IFERROR(__xludf.DUMMYFUNCTION("""COMPUTED_VALUE"""),"Elen Martincová")</f>
        <v>Elen Martincová</v>
      </c>
      <c r="C12" s="40">
        <f ca="1">IFERROR(__xludf.DUMMYFUNCTION("""COMPUTED_VALUE"""),2017)</f>
        <v>2017</v>
      </c>
      <c r="D12" s="40" t="str">
        <f ca="1">IFERROR(__xludf.DUMMYFUNCTION("""COMPUTED_VALUE"""),"Mladší přípravka - DÍVKY - ročník 2017-2018 (600m)")</f>
        <v>Mladší přípravka - DÍVKY - ročník 2017-2018 (600m)</v>
      </c>
      <c r="E12" s="40" t="str">
        <f ca="1">IFERROR(__xludf.DUMMYFUNCTION("""COMPUTED_VALUE"""),"PH Litice")</f>
        <v>PH Litice</v>
      </c>
      <c r="F12" s="39">
        <v>0.11874999999999999</v>
      </c>
      <c r="G12" s="134" t="s">
        <v>25</v>
      </c>
    </row>
    <row r="13" spans="1:7" ht="13.2" x14ac:dyDescent="0.25">
      <c r="A13" s="41">
        <f ca="1">IFERROR(__xludf.DUMMYFUNCTION("""COMPUTED_VALUE"""),417)</f>
        <v>417</v>
      </c>
      <c r="B13" s="38" t="str">
        <f ca="1">IFERROR(__xludf.DUMMYFUNCTION("""COMPUTED_VALUE"""),"Rampichová Tereza")</f>
        <v>Rampichová Tereza</v>
      </c>
      <c r="C13" s="38">
        <f ca="1">IFERROR(__xludf.DUMMYFUNCTION("""COMPUTED_VALUE"""),2018)</f>
        <v>2018</v>
      </c>
      <c r="D13" s="38" t="str">
        <f ca="1">IFERROR(__xludf.DUMMYFUNCTION("""COMPUTED_VALUE"""),"Mladší přípravka - DÍVKY - ročník 2017-2018 (600m)")</f>
        <v>Mladší přípravka - DÍVKY - ročník 2017-2018 (600m)</v>
      </c>
      <c r="E13" s="38"/>
      <c r="F13" s="39">
        <v>0.12013888888888889</v>
      </c>
      <c r="G13" s="134" t="s">
        <v>26</v>
      </c>
    </row>
    <row r="14" spans="1:7" ht="13.2" x14ac:dyDescent="0.25">
      <c r="A14" s="42">
        <f ca="1">IFERROR(__xludf.DUMMYFUNCTION("""COMPUTED_VALUE"""),145)</f>
        <v>145</v>
      </c>
      <c r="B14" s="40" t="str">
        <f ca="1">IFERROR(__xludf.DUMMYFUNCTION("""COMPUTED_VALUE"""),"Lodrová Neli")</f>
        <v>Lodrová Neli</v>
      </c>
      <c r="C14" s="40">
        <f ca="1">IFERROR(__xludf.DUMMYFUNCTION("""COMPUTED_VALUE"""),2017)</f>
        <v>2017</v>
      </c>
      <c r="D14" s="40" t="str">
        <f ca="1">IFERROR(__xludf.DUMMYFUNCTION("""COMPUTED_VALUE"""),"Mladší přípravka - DÍVKY - ročník 2017-2018 (600m)")</f>
        <v>Mladší přípravka - DÍVKY - ročník 2017-2018 (600m)</v>
      </c>
      <c r="E14" s="40" t="str">
        <f ca="1">IFERROR(__xludf.DUMMYFUNCTION("""COMPUTED_VALUE"""),"TJ Sokol SG Plzeň-Petřín")</f>
        <v>TJ Sokol SG Plzeň-Petřín</v>
      </c>
      <c r="F14" s="39">
        <v>0.12083333333333333</v>
      </c>
      <c r="G14" s="134" t="s">
        <v>27</v>
      </c>
    </row>
    <row r="15" spans="1:7" ht="13.2" x14ac:dyDescent="0.25">
      <c r="A15" s="42">
        <f ca="1">IFERROR(__xludf.DUMMYFUNCTION("""COMPUTED_VALUE"""),147)</f>
        <v>147</v>
      </c>
      <c r="B15" s="40" t="str">
        <f ca="1">IFERROR(__xludf.DUMMYFUNCTION("""COMPUTED_VALUE"""),"Menclová Magdalena")</f>
        <v>Menclová Magdalena</v>
      </c>
      <c r="C15" s="40">
        <f ca="1">IFERROR(__xludf.DUMMYFUNCTION("""COMPUTED_VALUE"""),2017)</f>
        <v>2017</v>
      </c>
      <c r="D15" s="40" t="str">
        <f ca="1">IFERROR(__xludf.DUMMYFUNCTION("""COMPUTED_VALUE"""),"Mladší přípravka - DÍVKY - ročník 2017-2018 (600m)")</f>
        <v>Mladší přípravka - DÍVKY - ročník 2017-2018 (600m)</v>
      </c>
      <c r="E15" s="40" t="str">
        <f ca="1">IFERROR(__xludf.DUMMYFUNCTION("""COMPUTED_VALUE"""),"Petřín")</f>
        <v>Petřín</v>
      </c>
      <c r="F15" s="39">
        <v>0.12083333333333333</v>
      </c>
      <c r="G15" s="134" t="s">
        <v>28</v>
      </c>
    </row>
    <row r="16" spans="1:7" ht="15.75" customHeight="1" x14ac:dyDescent="0.25">
      <c r="A16" s="42">
        <f ca="1">IFERROR(__xludf.DUMMYFUNCTION("""COMPUTED_VALUE"""),211)</f>
        <v>211</v>
      </c>
      <c r="B16" s="40" t="str">
        <f ca="1">IFERROR(__xludf.DUMMYFUNCTION("""COMPUTED_VALUE"""),"Královcová Nikola")</f>
        <v>Královcová Nikola</v>
      </c>
      <c r="C16" s="40">
        <f ca="1">IFERROR(__xludf.DUMMYFUNCTION("""COMPUTED_VALUE"""),2018)</f>
        <v>2018</v>
      </c>
      <c r="D16" s="40" t="str">
        <f ca="1">IFERROR(__xludf.DUMMYFUNCTION("""COMPUTED_VALUE"""),"Mladší přípravka - DÍVKY - ročník 2017-2018 (600m)")</f>
        <v>Mladší přípravka - DÍVKY - ročník 2017-2018 (600m)</v>
      </c>
      <c r="E16" s="40" t="str">
        <f ca="1">IFERROR(__xludf.DUMMYFUNCTION("""COMPUTED_VALUE"""),"LK Škoda Plzeň")</f>
        <v>LK Škoda Plzeň</v>
      </c>
      <c r="F16" s="39">
        <v>0.12638888888888888</v>
      </c>
      <c r="G16" s="134" t="s">
        <v>29</v>
      </c>
    </row>
    <row r="17" spans="1:7" ht="13.2" x14ac:dyDescent="0.25">
      <c r="A17" s="105">
        <f ca="1">IFERROR(__xludf.DUMMYFUNCTION("""COMPUTED_VALUE"""),205)</f>
        <v>205</v>
      </c>
      <c r="B17" s="40" t="str">
        <f ca="1">IFERROR(__xludf.DUMMYFUNCTION("""COMPUTED_VALUE"""),"Zárubová Lucie")</f>
        <v>Zárubová Lucie</v>
      </c>
      <c r="C17" s="40">
        <f ca="1">IFERROR(__xludf.DUMMYFUNCTION("""COMPUTED_VALUE"""),2018)</f>
        <v>2018</v>
      </c>
      <c r="D17" s="40" t="str">
        <f ca="1">IFERROR(__xludf.DUMMYFUNCTION("""COMPUTED_VALUE"""),"Mladší přípravka - DÍVKY - ročník 2017-2018 (600m)")</f>
        <v>Mladší přípravka - DÍVKY - ročník 2017-2018 (600m)</v>
      </c>
      <c r="E17" s="40"/>
      <c r="F17" s="39">
        <v>0.13055555555555556</v>
      </c>
      <c r="G17" s="134" t="s">
        <v>30</v>
      </c>
    </row>
    <row r="18" spans="1:7" ht="13.2" x14ac:dyDescent="0.25">
      <c r="A18" s="42">
        <f ca="1">IFERROR(__xludf.DUMMYFUNCTION("""COMPUTED_VALUE"""),203)</f>
        <v>203</v>
      </c>
      <c r="B18" s="40" t="str">
        <f ca="1">IFERROR(__xludf.DUMMYFUNCTION("""COMPUTED_VALUE"""),"Anna Hálová")</f>
        <v>Anna Hálová</v>
      </c>
      <c r="C18" s="40">
        <f ca="1">IFERROR(__xludf.DUMMYFUNCTION("""COMPUTED_VALUE"""),2018)</f>
        <v>2018</v>
      </c>
      <c r="D18" s="38" t="str">
        <f ca="1">IFERROR(__xludf.DUMMYFUNCTION("""COMPUTED_VALUE"""),"Mladší přípravka - DÍVKY - ročník 2017-2018 (600m)")</f>
        <v>Mladší přípravka - DÍVKY - ročník 2017-2018 (600m)</v>
      </c>
      <c r="E18" s="40"/>
      <c r="F18" s="39">
        <v>0.13541666666666666</v>
      </c>
      <c r="G18" s="134" t="s">
        <v>31</v>
      </c>
    </row>
    <row r="19" spans="1:7" ht="13.2" x14ac:dyDescent="0.25">
      <c r="A19" s="42">
        <f ca="1">IFERROR(__xludf.DUMMYFUNCTION("""COMPUTED_VALUE"""),193)</f>
        <v>193</v>
      </c>
      <c r="B19" s="40" t="str">
        <f ca="1">IFERROR(__xludf.DUMMYFUNCTION("""COMPUTED_VALUE"""),"Benediktová ")</f>
        <v xml:space="preserve">Benediktová </v>
      </c>
      <c r="C19" s="40">
        <f ca="1">IFERROR(__xludf.DUMMYFUNCTION("""COMPUTED_VALUE"""),2018)</f>
        <v>2018</v>
      </c>
      <c r="D19" s="40" t="str">
        <f ca="1">IFERROR(__xludf.DUMMYFUNCTION("""COMPUTED_VALUE"""),"Mladší přípravka - DÍVKY - ročník 2017-2018 (600m)")</f>
        <v>Mladší přípravka - DÍVKY - ročník 2017-2018 (600m)</v>
      </c>
      <c r="E19" s="40" t="str">
        <f ca="1">IFERROR(__xludf.DUMMYFUNCTION("""COMPUTED_VALUE"""),"TJ Sokol SG Plzeň - Petřín")</f>
        <v>TJ Sokol SG Plzeň - Petřín</v>
      </c>
      <c r="F19" s="39">
        <v>0.14374999999999999</v>
      </c>
      <c r="G19" s="134" t="s">
        <v>32</v>
      </c>
    </row>
    <row r="20" spans="1:7" ht="13.2" x14ac:dyDescent="0.25">
      <c r="A20" s="42">
        <f ca="1">IFERROR(__xludf.DUMMYFUNCTION("""COMPUTED_VALUE"""),282)</f>
        <v>282</v>
      </c>
      <c r="B20" s="40" t="str">
        <f ca="1">IFERROR(__xludf.DUMMYFUNCTION("""COMPUTED_VALUE"""),"Dolejšová Leontýna")</f>
        <v>Dolejšová Leontýna</v>
      </c>
      <c r="C20" s="40">
        <f ca="1">IFERROR(__xludf.DUMMYFUNCTION("""COMPUTED_VALUE"""),2018)</f>
        <v>2018</v>
      </c>
      <c r="D20" s="40" t="str">
        <f ca="1">IFERROR(__xludf.DUMMYFUNCTION("""COMPUTED_VALUE"""),"Mladší přípravka - DÍVKY - ročník 2017-2018 (600m)")</f>
        <v>Mladší přípravka - DÍVKY - ročník 2017-2018 (600m)</v>
      </c>
      <c r="E20" s="38" t="str">
        <f ca="1">IFERROR(__xludf.DUMMYFUNCTION("""COMPUTED_VALUE"""),"Atletika Kyšice")</f>
        <v>Atletika Kyšice</v>
      </c>
      <c r="F20" s="39">
        <v>0.15347222222222223</v>
      </c>
      <c r="G20" s="134" t="s">
        <v>33</v>
      </c>
    </row>
    <row r="21" spans="1:7" ht="13.8" thickBot="1" x14ac:dyDescent="0.3">
      <c r="A21" s="135">
        <f ca="1">IFERROR(__xludf.DUMMYFUNCTION("""COMPUTED_VALUE"""),221)</f>
        <v>221</v>
      </c>
      <c r="B21" s="44" t="str">
        <f ca="1">IFERROR(__xludf.DUMMYFUNCTION("""COMPUTED_VALUE"""),"Lída Harvanová")</f>
        <v>Lída Harvanová</v>
      </c>
      <c r="C21" s="44">
        <f ca="1">IFERROR(__xludf.DUMMYFUNCTION("""COMPUTED_VALUE"""),2018)</f>
        <v>2018</v>
      </c>
      <c r="D21" s="44" t="str">
        <f ca="1">IFERROR(__xludf.DUMMYFUNCTION("""COMPUTED_VALUE"""),"Mladší přípravka - DÍVKY - ročník 2017-2018 (600m)")</f>
        <v>Mladší přípravka - DÍVKY - ročník 2017-2018 (600m)</v>
      </c>
      <c r="E21" s="44" t="s">
        <v>39</v>
      </c>
      <c r="F21" s="45">
        <v>0.15416666666666667</v>
      </c>
      <c r="G21" s="136" t="s">
        <v>34</v>
      </c>
    </row>
    <row r="22" spans="1:7" ht="13.2" x14ac:dyDescent="0.25">
      <c r="A22" s="48"/>
      <c r="B22" s="7"/>
      <c r="C22" s="7"/>
      <c r="D22" s="7"/>
      <c r="E22" s="7"/>
      <c r="F22" s="49"/>
      <c r="G22" s="132"/>
    </row>
    <row r="23" spans="1:7" ht="13.2" x14ac:dyDescent="0.25">
      <c r="A23" s="10"/>
      <c r="B23" s="10"/>
      <c r="C23" s="10"/>
      <c r="D23" s="10"/>
      <c r="E23" s="10"/>
      <c r="F23" s="10"/>
      <c r="G23" s="133"/>
    </row>
    <row r="24" spans="1:7" ht="13.2" x14ac:dyDescent="0.25">
      <c r="A24" s="10"/>
      <c r="B24" s="10"/>
      <c r="C24" s="10"/>
      <c r="D24" s="10"/>
      <c r="E24" s="10"/>
      <c r="F24" s="131"/>
      <c r="G24" s="133"/>
    </row>
    <row r="25" spans="1:7" ht="13.2" x14ac:dyDescent="0.25">
      <c r="A25" s="10"/>
      <c r="B25" s="10"/>
      <c r="C25" s="10"/>
      <c r="D25" s="10"/>
      <c r="E25" s="10"/>
      <c r="F25" s="131"/>
      <c r="G25" s="133"/>
    </row>
    <row r="26" spans="1:7" ht="13.2" x14ac:dyDescent="0.25">
      <c r="A26" s="10"/>
      <c r="B26" s="10"/>
      <c r="C26" s="10"/>
      <c r="D26" s="10"/>
      <c r="E26" s="10"/>
      <c r="F26" s="131"/>
      <c r="G26" s="133"/>
    </row>
  </sheetData>
  <phoneticPr fontId="1" type="noConversion"/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2F8B-582A-437E-B2FD-F4DA64AECC99}">
  <sheetPr>
    <outlinePr summaryBelow="0" summaryRight="0"/>
  </sheetPr>
  <dimension ref="A1:BA26"/>
  <sheetViews>
    <sheetView tabSelected="1" workbookViewId="0">
      <selection activeCell="AW12" sqref="AW12"/>
    </sheetView>
  </sheetViews>
  <sheetFormatPr defaultColWidth="12.77734375" defaultRowHeight="15.75" customHeight="1" x14ac:dyDescent="0.25"/>
  <cols>
    <col min="1" max="1" width="6.21875" customWidth="1"/>
    <col min="2" max="2" width="17.88671875" customWidth="1"/>
    <col min="3" max="3" width="6.77734375" customWidth="1"/>
    <col min="4" max="4" width="43.77734375" customWidth="1"/>
    <col min="5" max="5" width="21.77734375" customWidth="1"/>
    <col min="6" max="6" width="12.77734375" customWidth="1"/>
    <col min="7" max="7" width="10.21875" customWidth="1"/>
  </cols>
  <sheetData>
    <row r="1" spans="1:53" ht="15.75" customHeight="1" x14ac:dyDescent="0.25">
      <c r="A1" s="137" t="s">
        <v>0</v>
      </c>
      <c r="B1" s="58" t="s">
        <v>1</v>
      </c>
      <c r="C1" s="58" t="s">
        <v>2</v>
      </c>
      <c r="D1" s="58" t="s">
        <v>3</v>
      </c>
      <c r="E1" s="58" t="s">
        <v>4</v>
      </c>
      <c r="F1" s="58" t="s">
        <v>5</v>
      </c>
      <c r="G1" s="138" t="s">
        <v>6</v>
      </c>
    </row>
    <row r="2" spans="1:53" ht="13.2" x14ac:dyDescent="0.25">
      <c r="A2" s="158">
        <v>129</v>
      </c>
      <c r="B2" s="159" t="s">
        <v>44</v>
      </c>
      <c r="C2" s="159">
        <v>2019</v>
      </c>
      <c r="D2" s="159" t="s">
        <v>45</v>
      </c>
      <c r="E2" s="159" t="s">
        <v>54</v>
      </c>
      <c r="F2" s="146">
        <v>4.5138888888888888E-2</v>
      </c>
      <c r="G2" s="160" t="s">
        <v>15</v>
      </c>
    </row>
    <row r="3" spans="1:53" ht="13.2" x14ac:dyDescent="0.25">
      <c r="A3" s="41">
        <f ca="1">IFERROR(__xludf.DUMMYFUNCTION("""COMPUTED_VALUE"""),399)</f>
        <v>399</v>
      </c>
      <c r="B3" s="38" t="str">
        <f ca="1">IFERROR(__xludf.DUMMYFUNCTION("""COMPUTED_VALUE"""),"Matěj Kapoun")</f>
        <v>Matěj Kapoun</v>
      </c>
      <c r="C3" s="38">
        <f ca="1">IFERROR(__xludf.DUMMYFUNCTION("""COMPUTED_VALUE"""),2019)</f>
        <v>2019</v>
      </c>
      <c r="D3" s="38" t="str">
        <f ca="1">IFERROR(__xludf.DUMMYFUNCTION("""COMPUTED_VALUE"""),"Nejmladší děti - HOŠI - ročník 2019 a mladší (300m)")</f>
        <v>Nejmladší děti - HOŠI - ročník 2019 a mladší (300m)</v>
      </c>
      <c r="E3" s="38" t="str">
        <f ca="1">IFERROR(__xludf.DUMMYFUNCTION("""COMPUTED_VALUE"""),"AK Škoda plzeň")</f>
        <v>AK Škoda plzeň</v>
      </c>
      <c r="F3" s="146">
        <v>4.7222222222222221E-2</v>
      </c>
      <c r="G3" s="134" t="s">
        <v>16</v>
      </c>
    </row>
    <row r="4" spans="1:53" ht="13.2" x14ac:dyDescent="0.25">
      <c r="A4" s="110">
        <f ca="1">IFERROR(__xludf.DUMMYFUNCTION("""COMPUTED_VALUE"""),291)</f>
        <v>291</v>
      </c>
      <c r="B4" s="38" t="str">
        <f ca="1">IFERROR(__xludf.DUMMYFUNCTION("""COMPUTED_VALUE"""),"Lodr Lukáš")</f>
        <v>Lodr Lukáš</v>
      </c>
      <c r="C4" s="38">
        <f ca="1">IFERROR(__xludf.DUMMYFUNCTION("""COMPUTED_VALUE"""),2019)</f>
        <v>2019</v>
      </c>
      <c r="D4" s="38" t="str">
        <f ca="1">IFERROR(__xludf.DUMMYFUNCTION("""COMPUTED_VALUE"""),"Nejmladší děti - HOŠI - ročník 2019 a mladší (300m)")</f>
        <v>Nejmladší děti - HOŠI - ročník 2019 a mladší (300m)</v>
      </c>
      <c r="E4" s="38" t="str">
        <f ca="1">IFERROR(__xludf.DUMMYFUNCTION("""COMPUTED_VALUE"""),"TJ Sokol SG Plzeň-Petřín")</f>
        <v>TJ Sokol SG Plzeň-Petřín</v>
      </c>
      <c r="F4" s="155">
        <v>4.9305555555555554E-2</v>
      </c>
      <c r="G4" s="134" t="s">
        <v>18</v>
      </c>
    </row>
    <row r="5" spans="1:53" ht="13.2" x14ac:dyDescent="0.25">
      <c r="A5" s="41">
        <f ca="1">IFERROR(__xludf.DUMMYFUNCTION("""COMPUTED_VALUE"""),201)</f>
        <v>201</v>
      </c>
      <c r="B5" s="38" t="str">
        <f ca="1">IFERROR(__xludf.DUMMYFUNCTION("""COMPUTED_VALUE"""),"Hajšman Krištof")</f>
        <v>Hajšman Krištof</v>
      </c>
      <c r="C5" s="38">
        <f ca="1">IFERROR(__xludf.DUMMYFUNCTION("""COMPUTED_VALUE"""),2020)</f>
        <v>2020</v>
      </c>
      <c r="D5" s="38" t="str">
        <f ca="1">IFERROR(__xludf.DUMMYFUNCTION("""COMPUTED_VALUE"""),"Nejmladší děti - HOŠI - ročník 2019 a mladší (300m)")</f>
        <v>Nejmladší děti - HOŠI - ročník 2019 a mladší (300m)</v>
      </c>
      <c r="E5" s="38" t="str">
        <f ca="1">IFERROR(__xludf.DUMMYFUNCTION("""COMPUTED_VALUE"""),"Plzeň")</f>
        <v>Plzeň</v>
      </c>
      <c r="F5" s="146">
        <v>4.9305555555555554E-2</v>
      </c>
      <c r="G5" s="134" t="s">
        <v>18</v>
      </c>
      <c r="BA5" t="s">
        <v>57</v>
      </c>
    </row>
    <row r="6" spans="1:53" ht="13.2" x14ac:dyDescent="0.25">
      <c r="A6" s="41">
        <f ca="1">IFERROR(__xludf.DUMMYFUNCTION("IFERROR(FILTER('Odpovědi formuláře 1'!B:H, 'Odpovědi formuláře 1'!F:F=""Nejmladší děti - HOŠI - ročník 2019 a mladší (300m)""), """")"),150)</f>
        <v>150</v>
      </c>
      <c r="B6" s="38" t="str">
        <f ca="1">IFERROR(__xludf.DUMMYFUNCTION("""COMPUTED_VALUE"""),"Kopp Oskar")</f>
        <v>Kopp Oskar</v>
      </c>
      <c r="C6" s="38">
        <f ca="1">IFERROR(__xludf.DUMMYFUNCTION("""COMPUTED_VALUE"""),2019)</f>
        <v>2019</v>
      </c>
      <c r="D6" s="38" t="str">
        <f ca="1">IFERROR(__xludf.DUMMYFUNCTION("""COMPUTED_VALUE"""),"Nejmladší děti - HOŠI - ročník 2019 a mladší (300m)")</f>
        <v>Nejmladší děti - HOŠI - ročník 2019 a mladší (300m)</v>
      </c>
      <c r="E6" s="38" t="str">
        <f ca="1">IFERROR(__xludf.DUMMYFUNCTION("""COMPUTED_VALUE"""),"TJ Sokol SG Plzeň - Petřín")</f>
        <v>TJ Sokol SG Plzeň - Petřín</v>
      </c>
      <c r="F6" s="146">
        <v>5.0694444444444445E-2</v>
      </c>
      <c r="G6" s="134" t="s">
        <v>17</v>
      </c>
    </row>
    <row r="7" spans="1:53" ht="15.75" customHeight="1" x14ac:dyDescent="0.25">
      <c r="A7" s="110">
        <f ca="1">IFERROR(__xludf.DUMMYFUNCTION("""COMPUTED_VALUE"""),278)</f>
        <v>278</v>
      </c>
      <c r="B7" s="38" t="str">
        <f ca="1">IFERROR(__xludf.DUMMYFUNCTION("""COMPUTED_VALUE"""),"Ondřej Matějka")</f>
        <v>Ondřej Matějka</v>
      </c>
      <c r="C7" s="38">
        <f ca="1">IFERROR(__xludf.DUMMYFUNCTION("""COMPUTED_VALUE"""),2019)</f>
        <v>2019</v>
      </c>
      <c r="D7" s="38" t="str">
        <f ca="1">IFERROR(__xludf.DUMMYFUNCTION("""COMPUTED_VALUE"""),"Nejmladší děti - HOŠI - ročník 2019 a mladší (300m)")</f>
        <v>Nejmladší děti - HOŠI - ročník 2019 a mladší (300m)</v>
      </c>
      <c r="E7" s="38" t="str">
        <f ca="1">IFERROR(__xludf.DUMMYFUNCTION("""COMPUTED_VALUE"""),"Atletika Kyšice")</f>
        <v>Atletika Kyšice</v>
      </c>
      <c r="F7" s="155">
        <v>5.1388888888888887E-2</v>
      </c>
      <c r="G7" s="134" t="s">
        <v>19</v>
      </c>
    </row>
    <row r="8" spans="1:53" ht="13.2" x14ac:dyDescent="0.25">
      <c r="A8" s="41">
        <v>126</v>
      </c>
      <c r="B8" s="38" t="s">
        <v>46</v>
      </c>
      <c r="C8" s="38">
        <v>2021</v>
      </c>
      <c r="D8" s="38" t="s">
        <v>45</v>
      </c>
      <c r="E8" s="38" t="s">
        <v>49</v>
      </c>
      <c r="F8" s="146">
        <v>5.8333333333333334E-2</v>
      </c>
      <c r="G8" s="134" t="s">
        <v>20</v>
      </c>
    </row>
    <row r="9" spans="1:53" ht="15.75" customHeight="1" x14ac:dyDescent="0.25">
      <c r="A9" s="41">
        <f ca="1">IFERROR(__xludf.DUMMYFUNCTION("""COMPUTED_VALUE"""),397)</f>
        <v>397</v>
      </c>
      <c r="B9" s="38" t="str">
        <f ca="1">IFERROR(__xludf.DUMMYFUNCTION("""COMPUTED_VALUE"""),"Vojtěch Rákos")</f>
        <v>Vojtěch Rákos</v>
      </c>
      <c r="C9" s="38">
        <f ca="1">IFERROR(__xludf.DUMMYFUNCTION("""COMPUTED_VALUE"""),2019)</f>
        <v>2019</v>
      </c>
      <c r="D9" s="38" t="str">
        <f ca="1">IFERROR(__xludf.DUMMYFUNCTION("""COMPUTED_VALUE"""),"Nejmladší děti - HOŠI - ročník 2019 a mladší (300m)")</f>
        <v>Nejmladší děti - HOŠI - ročník 2019 a mladší (300m)</v>
      </c>
      <c r="E9" s="38" t="str">
        <f ca="1">IFERROR(__xludf.DUMMYFUNCTION("""COMPUTED_VALUE"""),"PH Litice")</f>
        <v>PH Litice</v>
      </c>
      <c r="F9" s="146">
        <v>5.9027777777777776E-2</v>
      </c>
      <c r="G9" s="134" t="s">
        <v>21</v>
      </c>
    </row>
    <row r="10" spans="1:53" ht="13.2" x14ac:dyDescent="0.25">
      <c r="A10" s="41">
        <v>279</v>
      </c>
      <c r="B10" s="38" t="str">
        <f ca="1">IFERROR(__xludf.DUMMYFUNCTION("""COMPUTED_VALUE"""),"Smola Jakub")</f>
        <v>Smola Jakub</v>
      </c>
      <c r="C10" s="38">
        <f ca="1">IFERROR(__xludf.DUMMYFUNCTION("""COMPUTED_VALUE"""),2020)</f>
        <v>2020</v>
      </c>
      <c r="D10" s="38" t="str">
        <f ca="1">IFERROR(__xludf.DUMMYFUNCTION("""COMPUTED_VALUE"""),"Nejmladší děti - HOŠI - ročník 2019 a mladší (300m)")</f>
        <v>Nejmladší děti - HOŠI - ročník 2019 a mladší (300m)</v>
      </c>
      <c r="E10" s="38" t="str">
        <f ca="1">IFERROR(__xludf.DUMMYFUNCTION("""COMPUTED_VALUE"""),"Atletika Kyšice")</f>
        <v>Atletika Kyšice</v>
      </c>
      <c r="F10" s="146">
        <v>5.9027777777777776E-2</v>
      </c>
      <c r="G10" s="134" t="s">
        <v>22</v>
      </c>
    </row>
    <row r="11" spans="1:53" ht="13.2" x14ac:dyDescent="0.25">
      <c r="A11" s="41">
        <f ca="1">IFERROR(__xludf.DUMMYFUNCTION("""COMPUTED_VALUE"""),233)</f>
        <v>233</v>
      </c>
      <c r="B11" s="38" t="str">
        <f ca="1">IFERROR(__xludf.DUMMYFUNCTION("""COMPUTED_VALUE"""),"Zíka Hynek")</f>
        <v>Zíka Hynek</v>
      </c>
      <c r="C11" s="38">
        <f ca="1">IFERROR(__xludf.DUMMYFUNCTION("""COMPUTED_VALUE"""),2020)</f>
        <v>2020</v>
      </c>
      <c r="D11" s="38" t="str">
        <f ca="1">IFERROR(__xludf.DUMMYFUNCTION("""COMPUTED_VALUE"""),"Nejmladší děti - HOŠI - ročník 2019 a mladší (300m)")</f>
        <v>Nejmladší děti - HOŠI - ročník 2019 a mladší (300m)</v>
      </c>
      <c r="E11" s="38" t="str">
        <f ca="1">IFERROR(__xludf.DUMMYFUNCTION("""COMPUTED_VALUE"""),"TJ Baník Stříbro")</f>
        <v>TJ Baník Stříbro</v>
      </c>
      <c r="F11" s="146">
        <v>5.9722222222222225E-2</v>
      </c>
      <c r="G11" s="134" t="s">
        <v>23</v>
      </c>
    </row>
    <row r="12" spans="1:53" ht="13.2" x14ac:dyDescent="0.25">
      <c r="A12" s="41">
        <f ca="1">IFERROR(__xludf.DUMMYFUNCTION("""COMPUTED_VALUE"""),407)</f>
        <v>407</v>
      </c>
      <c r="B12" s="38" t="str">
        <f ca="1">IFERROR(__xludf.DUMMYFUNCTION("""COMPUTED_VALUE"""),"Nikodem Bělohoubek")</f>
        <v>Nikodem Bělohoubek</v>
      </c>
      <c r="C12" s="38">
        <f ca="1">IFERROR(__xludf.DUMMYFUNCTION("""COMPUTED_VALUE"""),2020)</f>
        <v>2020</v>
      </c>
      <c r="D12" s="38" t="str">
        <f ca="1">IFERROR(__xludf.DUMMYFUNCTION("""COMPUTED_VALUE"""),"Nejmladší děti - HOŠI - ročník 2019 a mladší (300m)")</f>
        <v>Nejmladší děti - HOŠI - ročník 2019 a mladší (300m)</v>
      </c>
      <c r="E12" s="38" t="str">
        <f ca="1">IFERROR(__xludf.DUMMYFUNCTION("""COMPUTED_VALUE"""),"SG Petřín")</f>
        <v>SG Petřín</v>
      </c>
      <c r="F12" s="146">
        <v>6.1111111111111109E-2</v>
      </c>
      <c r="G12" s="134" t="s">
        <v>24</v>
      </c>
    </row>
    <row r="13" spans="1:53" ht="13.2" x14ac:dyDescent="0.25">
      <c r="A13" s="110">
        <f ca="1">IFERROR(__xludf.DUMMYFUNCTION("""COMPUTED_VALUE"""),411)</f>
        <v>411</v>
      </c>
      <c r="B13" s="38" t="str">
        <f ca="1">IFERROR(__xludf.DUMMYFUNCTION("""COMPUTED_VALUE"""),"Vladimír Ekstein")</f>
        <v>Vladimír Ekstein</v>
      </c>
      <c r="C13" s="38">
        <f ca="1">IFERROR(__xludf.DUMMYFUNCTION("""COMPUTED_VALUE"""),2021)</f>
        <v>2021</v>
      </c>
      <c r="D13" s="38" t="str">
        <f ca="1">IFERROR(__xludf.DUMMYFUNCTION("""COMPUTED_VALUE"""),"Nejmladší děti - HOŠI - ročník 2019 a mladší (300m)")</f>
        <v>Nejmladší děti - HOŠI - ročník 2019 a mladší (300m)</v>
      </c>
      <c r="E13" s="38" t="str">
        <f ca="1">IFERROR(__xludf.DUMMYFUNCTION("""COMPUTED_VALUE"""),"PH Litice")</f>
        <v>PH Litice</v>
      </c>
      <c r="F13" s="155">
        <v>6.5972222222222224E-2</v>
      </c>
      <c r="G13" s="134" t="s">
        <v>25</v>
      </c>
    </row>
    <row r="14" spans="1:53" ht="13.2" x14ac:dyDescent="0.25">
      <c r="A14" s="41">
        <f ca="1">IFERROR(__xludf.DUMMYFUNCTION("""COMPUTED_VALUE"""),243)</f>
        <v>243</v>
      </c>
      <c r="B14" s="38" t="str">
        <f ca="1">IFERROR(__xludf.DUMMYFUNCTION("""COMPUTED_VALUE"""),"Štěpán Nocar")</f>
        <v>Štěpán Nocar</v>
      </c>
      <c r="C14" s="38">
        <f ca="1">IFERROR(__xludf.DUMMYFUNCTION("""COMPUTED_VALUE"""),2021)</f>
        <v>2021</v>
      </c>
      <c r="D14" s="38" t="str">
        <f ca="1">IFERROR(__xludf.DUMMYFUNCTION("""COMPUTED_VALUE"""),"Nejmladší děti - HOŠI - ročník 2019 a mladší (300m)")</f>
        <v>Nejmladší děti - HOŠI - ročník 2019 a mladší (300m)</v>
      </c>
      <c r="E14" s="38" t="str">
        <f ca="1">IFERROR(__xludf.DUMMYFUNCTION("""COMPUTED_VALUE"""),"TJ Litice")</f>
        <v>TJ Litice</v>
      </c>
      <c r="F14" s="146">
        <v>6.7361111111111108E-2</v>
      </c>
      <c r="G14" s="134" t="s">
        <v>26</v>
      </c>
    </row>
    <row r="15" spans="1:53" ht="13.2" x14ac:dyDescent="0.25">
      <c r="A15" s="41">
        <f ca="1">IFERROR(__xludf.DUMMYFUNCTION("""COMPUTED_VALUE"""),240)</f>
        <v>240</v>
      </c>
      <c r="B15" s="38" t="str">
        <f ca="1">IFERROR(__xludf.DUMMYFUNCTION("""COMPUTED_VALUE"""),"David Ripka")</f>
        <v>David Ripka</v>
      </c>
      <c r="C15" s="38">
        <f ca="1">IFERROR(__xludf.DUMMYFUNCTION("""COMPUTED_VALUE"""),2021)</f>
        <v>2021</v>
      </c>
      <c r="D15" s="38" t="str">
        <f ca="1">IFERROR(__xludf.DUMMYFUNCTION("""COMPUTED_VALUE"""),"Nejmladší děti - HOŠI - ročník 2019 a mladší (300m)")</f>
        <v>Nejmladší děti - HOŠI - ročník 2019 a mladší (300m)</v>
      </c>
      <c r="E15" s="38"/>
      <c r="F15" s="146">
        <v>7.4305555555555555E-2</v>
      </c>
      <c r="G15" s="134" t="s">
        <v>27</v>
      </c>
    </row>
    <row r="16" spans="1:53" ht="13.2" x14ac:dyDescent="0.25">
      <c r="A16" s="41">
        <v>142</v>
      </c>
      <c r="B16" s="38" t="s">
        <v>47</v>
      </c>
      <c r="C16" s="38">
        <v>2022</v>
      </c>
      <c r="D16" s="38" t="s">
        <v>45</v>
      </c>
      <c r="E16" s="38" t="s">
        <v>48</v>
      </c>
      <c r="F16" s="146">
        <v>9.166666666666666E-2</v>
      </c>
      <c r="G16" s="134" t="s">
        <v>28</v>
      </c>
    </row>
    <row r="17" spans="1:9" ht="13.8" thickBot="1" x14ac:dyDescent="0.3">
      <c r="A17" s="135">
        <f ca="1">IFERROR(__xludf.DUMMYFUNCTION("""COMPUTED_VALUE"""),398)</f>
        <v>398</v>
      </c>
      <c r="B17" s="47" t="str">
        <f ca="1">IFERROR(__xludf.DUMMYFUNCTION("""COMPUTED_VALUE"""),"Tomáš Rákos")</f>
        <v>Tomáš Rákos</v>
      </c>
      <c r="C17" s="47">
        <f ca="1">IFERROR(__xludf.DUMMYFUNCTION("""COMPUTED_VALUE"""),2022)</f>
        <v>2022</v>
      </c>
      <c r="D17" s="47" t="str">
        <f ca="1">IFERROR(__xludf.DUMMYFUNCTION("""COMPUTED_VALUE"""),"Nejmladší děti - HOŠI - ročník 2019 a mladší (300m)")</f>
        <v>Nejmladší děti - HOŠI - ročník 2019 a mladší (300m)</v>
      </c>
      <c r="E17" s="47" t="str">
        <f ca="1">IFERROR(__xludf.DUMMYFUNCTION("""COMPUTED_VALUE"""),"PH Litice")</f>
        <v>PH Litice</v>
      </c>
      <c r="F17" s="151">
        <v>9.4444444444444442E-2</v>
      </c>
      <c r="G17" s="134" t="s">
        <v>29</v>
      </c>
    </row>
    <row r="18" spans="1:9" ht="13.2" x14ac:dyDescent="0.25">
      <c r="A18" s="48"/>
      <c r="B18" s="7"/>
      <c r="C18" s="7"/>
      <c r="D18" s="7"/>
      <c r="E18" s="7"/>
      <c r="F18" s="49"/>
      <c r="G18" s="48"/>
      <c r="H18" s="10"/>
      <c r="I18" s="10"/>
    </row>
    <row r="19" spans="1:9" ht="13.2" x14ac:dyDescent="0.25">
      <c r="A19" s="7"/>
      <c r="B19" s="7"/>
      <c r="C19" s="7"/>
      <c r="D19" s="8"/>
      <c r="E19" s="7"/>
      <c r="F19" s="9"/>
      <c r="G19" s="7"/>
      <c r="H19" s="10"/>
      <c r="I19" s="10"/>
    </row>
    <row r="20" spans="1:9" ht="13.2" x14ac:dyDescent="0.25">
      <c r="A20" s="7"/>
      <c r="B20" s="7"/>
      <c r="C20" s="7"/>
      <c r="D20" s="7"/>
      <c r="E20" s="7"/>
      <c r="F20" s="8"/>
      <c r="G20" s="8"/>
      <c r="H20" s="10"/>
      <c r="I20" s="10"/>
    </row>
    <row r="21" spans="1:9" ht="13.2" x14ac:dyDescent="0.25">
      <c r="A21" s="8"/>
      <c r="B21" s="8"/>
      <c r="C21" s="8"/>
      <c r="D21" s="8"/>
      <c r="E21" s="8"/>
      <c r="F21" s="8"/>
      <c r="G21" s="8"/>
      <c r="H21" s="10"/>
      <c r="I21" s="10"/>
    </row>
    <row r="22" spans="1:9" ht="15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5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</row>
    <row r="24" spans="1:9" ht="15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5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</row>
    <row r="26" spans="1:9" ht="15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</row>
  </sheetData>
  <phoneticPr fontId="3" type="noConversion"/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CF5BF-AA7E-4604-9026-177B062DDCFF}">
  <sheetPr>
    <outlinePr summaryBelow="0" summaryRight="0"/>
  </sheetPr>
  <dimension ref="A1:H33"/>
  <sheetViews>
    <sheetView workbookViewId="0">
      <selection activeCell="D21" sqref="D21"/>
    </sheetView>
  </sheetViews>
  <sheetFormatPr defaultColWidth="12.77734375" defaultRowHeight="15.75" customHeight="1" x14ac:dyDescent="0.25"/>
  <cols>
    <col min="1" max="1" width="7.21875" style="68" customWidth="1"/>
    <col min="2" max="2" width="19.77734375" style="68" customWidth="1"/>
    <col min="3" max="3" width="6.77734375" style="68" customWidth="1"/>
    <col min="4" max="4" width="45.6640625" style="68" customWidth="1"/>
    <col min="5" max="5" width="22.21875" style="68" customWidth="1"/>
    <col min="6" max="6" width="9.21875" style="68" customWidth="1"/>
    <col min="7" max="7" width="7.77734375" style="145" customWidth="1"/>
    <col min="8" max="16384" width="12.77734375" style="68"/>
  </cols>
  <sheetData>
    <row r="1" spans="1:7" ht="15.75" customHeight="1" x14ac:dyDescent="0.25">
      <c r="A1" s="102" t="s">
        <v>0</v>
      </c>
      <c r="B1" s="103" t="s">
        <v>1</v>
      </c>
      <c r="C1" s="103" t="s">
        <v>2</v>
      </c>
      <c r="D1" s="103" t="s">
        <v>3</v>
      </c>
      <c r="E1" s="103" t="s">
        <v>4</v>
      </c>
      <c r="F1" s="103" t="s">
        <v>5</v>
      </c>
      <c r="G1" s="117" t="s">
        <v>6</v>
      </c>
    </row>
    <row r="2" spans="1:7" ht="13.2" x14ac:dyDescent="0.25">
      <c r="A2" s="42">
        <f ca="1">IFERROR(__xludf.DUMMYFUNCTION("""COMPUTED_VALUE"""),191)</f>
        <v>191</v>
      </c>
      <c r="B2" s="40" t="str">
        <f ca="1">IFERROR(__xludf.DUMMYFUNCTION("""COMPUTED_VALUE"""),"Forejtová Nikol")</f>
        <v>Forejtová Nikol</v>
      </c>
      <c r="C2" s="40">
        <f ca="1">IFERROR(__xludf.DUMMYFUNCTION("""COMPUTED_VALUE"""),2019)</f>
        <v>2019</v>
      </c>
      <c r="D2" s="38" t="str">
        <f ca="1">IFERROR(__xludf.DUMMYFUNCTION("""COMPUTED_VALUE"""),"Nejmladší děti - DÍVKY - ročník 2019 a mladší (300m)")</f>
        <v>Nejmladší děti - DÍVKY - ročník 2019 a mladší (300m)</v>
      </c>
      <c r="E2" s="40" t="str">
        <f ca="1">IFERROR(__xludf.DUMMYFUNCTION("""COMPUTED_VALUE"""),"FBC Plzeň")</f>
        <v>FBC Plzeň</v>
      </c>
      <c r="F2" s="39">
        <v>4.6527777777777779E-2</v>
      </c>
      <c r="G2" s="134" t="s">
        <v>15</v>
      </c>
    </row>
    <row r="3" spans="1:7" ht="13.2" x14ac:dyDescent="0.25">
      <c r="A3" s="42">
        <f ca="1">IFERROR(__xludf.DUMMYFUNCTION("""COMPUTED_VALUE"""),192)</f>
        <v>192</v>
      </c>
      <c r="B3" s="40" t="str">
        <f ca="1">IFERROR(__xludf.DUMMYFUNCTION("""COMPUTED_VALUE"""),"Amy Lavrinčíková")</f>
        <v>Amy Lavrinčíková</v>
      </c>
      <c r="C3" s="40">
        <f ca="1">IFERROR(__xludf.DUMMYFUNCTION("""COMPUTED_VALUE"""),2020)</f>
        <v>2020</v>
      </c>
      <c r="D3" s="38" t="str">
        <f ca="1">IFERROR(__xludf.DUMMYFUNCTION("""COMPUTED_VALUE"""),"Nejmladší děti - DÍVKY - ročník 2019 a mladší (300m)")</f>
        <v>Nejmladší děti - DÍVKY - ročník 2019 a mladší (300m)</v>
      </c>
      <c r="E3" s="40" t="str">
        <f ca="1">IFERROR(__xludf.DUMMYFUNCTION("""COMPUTED_VALUE"""),"Mílaři Domažlice")</f>
        <v>Mílaři Domažlice</v>
      </c>
      <c r="F3" s="39">
        <v>4.791666666666667E-2</v>
      </c>
      <c r="G3" s="134" t="s">
        <v>16</v>
      </c>
    </row>
    <row r="4" spans="1:7" ht="13.2" x14ac:dyDescent="0.25">
      <c r="A4" s="42">
        <f ca="1">IFERROR(__xludf.DUMMYFUNCTION("""COMPUTED_VALUE"""),238)</f>
        <v>238</v>
      </c>
      <c r="B4" s="40" t="str">
        <f ca="1">IFERROR(__xludf.DUMMYFUNCTION("""COMPUTED_VALUE"""),"Cejpková Ema")</f>
        <v>Cejpková Ema</v>
      </c>
      <c r="C4" s="40">
        <f ca="1">IFERROR(__xludf.DUMMYFUNCTION("""COMPUTED_VALUE"""),2019)</f>
        <v>2019</v>
      </c>
      <c r="D4" s="38" t="str">
        <f ca="1">IFERROR(__xludf.DUMMYFUNCTION("""COMPUTED_VALUE"""),"Nejmladší děti - DÍVKY - ročník 2019 a mladší (300m)")</f>
        <v>Nejmladší děti - DÍVKY - ročník 2019 a mladší (300m)</v>
      </c>
      <c r="E4" s="40" t="s">
        <v>53</v>
      </c>
      <c r="F4" s="39">
        <v>0.05</v>
      </c>
      <c r="G4" s="134" t="s">
        <v>18</v>
      </c>
    </row>
    <row r="5" spans="1:7" ht="13.2" x14ac:dyDescent="0.25">
      <c r="A5" s="105">
        <f ca="1">IFERROR(__xludf.DUMMYFUNCTION("""COMPUTED_VALUE"""),297)</f>
        <v>297</v>
      </c>
      <c r="B5" s="40" t="str">
        <f ca="1">IFERROR(__xludf.DUMMYFUNCTION("""COMPUTED_VALUE"""),"Ulrichová Anežka")</f>
        <v>Ulrichová Anežka</v>
      </c>
      <c r="C5" s="40">
        <f ca="1">IFERROR(__xludf.DUMMYFUNCTION("""COMPUTED_VALUE"""),2019)</f>
        <v>2019</v>
      </c>
      <c r="D5" s="40" t="str">
        <f ca="1">IFERROR(__xludf.DUMMYFUNCTION("""COMPUTED_VALUE"""),"Nejmladší děti - DÍVKY - ročník 2019 a mladší (300m)")</f>
        <v>Nejmladší děti - DÍVKY - ročník 2019 a mladší (300m)</v>
      </c>
      <c r="E5" s="40" t="str">
        <f ca="1">IFERROR(__xludf.DUMMYFUNCTION("""COMPUTED_VALUE"""),"PH Litice")</f>
        <v>PH Litice</v>
      </c>
      <c r="F5" s="112">
        <v>0.05</v>
      </c>
      <c r="G5" s="134" t="s">
        <v>17</v>
      </c>
    </row>
    <row r="6" spans="1:7" ht="13.2" x14ac:dyDescent="0.25">
      <c r="A6" s="105">
        <f ca="1">IFERROR(__xludf.DUMMYFUNCTION("""COMPUTED_VALUE"""),394)</f>
        <v>394</v>
      </c>
      <c r="B6" s="40" t="str">
        <f ca="1">IFERROR(__xludf.DUMMYFUNCTION("""COMPUTED_VALUE"""),"Viktorie Panzerová")</f>
        <v>Viktorie Panzerová</v>
      </c>
      <c r="C6" s="40">
        <f ca="1">IFERROR(__xludf.DUMMYFUNCTION("""COMPUTED_VALUE"""),2019)</f>
        <v>2019</v>
      </c>
      <c r="D6" s="40" t="str">
        <f ca="1">IFERROR(__xludf.DUMMYFUNCTION("""COMPUTED_VALUE"""),"Nejmladší děti - DÍVKY - ročník 2019 a mladší (300m)")</f>
        <v>Nejmladší děti - DÍVKY - ročník 2019 a mladší (300m)</v>
      </c>
      <c r="E6" s="40" t="str">
        <f ca="1">IFERROR(__xludf.DUMMYFUNCTION("""COMPUTED_VALUE"""),"PH Litice")</f>
        <v>PH Litice</v>
      </c>
      <c r="F6" s="112">
        <v>5.347222222222222E-2</v>
      </c>
      <c r="G6" s="134" t="s">
        <v>19</v>
      </c>
    </row>
    <row r="7" spans="1:7" ht="13.2" x14ac:dyDescent="0.25">
      <c r="A7" s="42">
        <f ca="1">IFERROR(__xludf.DUMMYFUNCTION("""COMPUTED_VALUE"""),181)</f>
        <v>181</v>
      </c>
      <c r="B7" s="40" t="str">
        <f ca="1">IFERROR(__xludf.DUMMYFUNCTION("""COMPUTED_VALUE"""),"Nella Votýpková ")</f>
        <v xml:space="preserve">Nella Votýpková </v>
      </c>
      <c r="C7" s="40">
        <f ca="1">IFERROR(__xludf.DUMMYFUNCTION("""COMPUTED_VALUE"""),2020)</f>
        <v>2020</v>
      </c>
      <c r="D7" s="40" t="str">
        <f ca="1">IFERROR(__xludf.DUMMYFUNCTION("""COMPUTED_VALUE"""),"Nejmladší děti - DÍVKY - ročník 2019 a mladší (300m)")</f>
        <v>Nejmladší děti - DÍVKY - ročník 2019 a mladší (300m)</v>
      </c>
      <c r="E7" s="40" t="str">
        <f ca="1">IFERROR(__xludf.DUMMYFUNCTION("""COMPUTED_VALUE"""),"AK Škoda Plzeň ")</f>
        <v xml:space="preserve">AK Škoda Plzeň </v>
      </c>
      <c r="F7" s="39">
        <v>5.4166666666666669E-2</v>
      </c>
      <c r="G7" s="134" t="s">
        <v>20</v>
      </c>
    </row>
    <row r="8" spans="1:7" ht="13.2" x14ac:dyDescent="0.25">
      <c r="A8" s="42">
        <f ca="1">IFERROR(__xludf.DUMMYFUNCTION("""COMPUTED_VALUE"""),280)</f>
        <v>280</v>
      </c>
      <c r="B8" s="40" t="str">
        <f ca="1">IFERROR(__xludf.DUMMYFUNCTION("""COMPUTED_VALUE"""),"Kuklíková Julie")</f>
        <v>Kuklíková Julie</v>
      </c>
      <c r="C8" s="40">
        <f ca="1">IFERROR(__xludf.DUMMYFUNCTION("""COMPUTED_VALUE"""),2019)</f>
        <v>2019</v>
      </c>
      <c r="D8" s="40" t="str">
        <f ca="1">IFERROR(__xludf.DUMMYFUNCTION("""COMPUTED_VALUE"""),"Nejmladší děti - DÍVKY - ročník 2019 a mladší (300m)")</f>
        <v>Nejmladší děti - DÍVKY - ročník 2019 a mladší (300m)</v>
      </c>
      <c r="E8" s="40" t="str">
        <f ca="1">IFERROR(__xludf.DUMMYFUNCTION("""COMPUTED_VALUE"""),"Atletika Kyšice")</f>
        <v>Atletika Kyšice</v>
      </c>
      <c r="F8" s="39">
        <v>5.486111111111111E-2</v>
      </c>
      <c r="G8" s="134" t="s">
        <v>21</v>
      </c>
    </row>
    <row r="9" spans="1:7" ht="13.2" x14ac:dyDescent="0.25">
      <c r="A9" s="42">
        <v>237</v>
      </c>
      <c r="B9" s="40" t="s">
        <v>50</v>
      </c>
      <c r="C9" s="40">
        <v>2020</v>
      </c>
      <c r="D9" s="40" t="s">
        <v>51</v>
      </c>
      <c r="E9" s="40" t="s">
        <v>48</v>
      </c>
      <c r="F9" s="39">
        <v>5.486111111111111E-2</v>
      </c>
      <c r="G9" s="134" t="s">
        <v>22</v>
      </c>
    </row>
    <row r="10" spans="1:7" ht="13.2" x14ac:dyDescent="0.25">
      <c r="A10" s="41">
        <f ca="1">IFERROR(__xludf.DUMMYFUNCTION("""COMPUTED_VALUE"""),183)</f>
        <v>183</v>
      </c>
      <c r="B10" s="38" t="str">
        <f ca="1">IFERROR(__xludf.DUMMYFUNCTION("""COMPUTED_VALUE"""),"Ella Vořtová")</f>
        <v>Ella Vořtová</v>
      </c>
      <c r="C10" s="38">
        <f ca="1">IFERROR(__xludf.DUMMYFUNCTION("""COMPUTED_VALUE"""),2020)</f>
        <v>2020</v>
      </c>
      <c r="D10" s="38" t="str">
        <f ca="1">IFERROR(__xludf.DUMMYFUNCTION("""COMPUTED_VALUE"""),"Nejmladší děti - DÍVKY - ročník 2019 a mladší (300m)")</f>
        <v>Nejmladší děti - DÍVKY - ročník 2019 a mladší (300m)</v>
      </c>
      <c r="E10" s="38"/>
      <c r="F10" s="39">
        <v>5.9027777777777776E-2</v>
      </c>
      <c r="G10" s="134" t="s">
        <v>23</v>
      </c>
    </row>
    <row r="11" spans="1:7" ht="13.2" x14ac:dyDescent="0.25">
      <c r="A11" s="42">
        <f ca="1">IFERROR(__xludf.DUMMYFUNCTION("""COMPUTED_VALUE"""),196)</f>
        <v>196</v>
      </c>
      <c r="B11" s="40" t="str">
        <f ca="1">IFERROR(__xludf.DUMMYFUNCTION("""COMPUTED_VALUE"""),"Berkovcová Karolína")</f>
        <v>Berkovcová Karolína</v>
      </c>
      <c r="C11" s="40">
        <f ca="1">IFERROR(__xludf.DUMMYFUNCTION("""COMPUTED_VALUE"""),2019)</f>
        <v>2019</v>
      </c>
      <c r="D11" s="40" t="str">
        <f ca="1">IFERROR(__xludf.DUMMYFUNCTION("""COMPUTED_VALUE"""),"Nejmladší děti - DÍVKY - ročník 2019 a mladší (300m)")</f>
        <v>Nejmladší děti - DÍVKY - ročník 2019 a mladší (300m)</v>
      </c>
      <c r="E11" s="40"/>
      <c r="F11" s="39">
        <v>5.9722222222222225E-2</v>
      </c>
      <c r="G11" s="134" t="s">
        <v>24</v>
      </c>
    </row>
    <row r="12" spans="1:7" ht="13.2" x14ac:dyDescent="0.25">
      <c r="A12" s="42">
        <f ca="1">IFERROR(__xludf.DUMMYFUNCTION("""COMPUTED_VALUE"""),195)</f>
        <v>195</v>
      </c>
      <c r="B12" s="40" t="str">
        <f ca="1">IFERROR(__xludf.DUMMYFUNCTION("""COMPUTED_VALUE"""),"Klimešová Jana")</f>
        <v>Klimešová Jana</v>
      </c>
      <c r="C12" s="38">
        <f ca="1">IFERROR(__xludf.DUMMYFUNCTION("""COMPUTED_VALUE"""),2020)</f>
        <v>2020</v>
      </c>
      <c r="D12" s="40" t="str">
        <f ca="1">IFERROR(__xludf.DUMMYFUNCTION("""COMPUTED_VALUE"""),"Nejmladší děti - DÍVKY - ročník 2019 a mladší (300m)")</f>
        <v>Nejmladší děti - DÍVKY - ročník 2019 a mladší (300m)</v>
      </c>
      <c r="E12" s="40"/>
      <c r="F12" s="39">
        <v>6.0416666666666667E-2</v>
      </c>
      <c r="G12" s="134" t="s">
        <v>25</v>
      </c>
    </row>
    <row r="13" spans="1:7" ht="13.2" x14ac:dyDescent="0.25">
      <c r="A13" s="41">
        <f ca="1">IFERROR(__xludf.DUMMYFUNCTION("""COMPUTED_VALUE"""),184)</f>
        <v>184</v>
      </c>
      <c r="B13" s="38" t="str">
        <f ca="1">IFERROR(__xludf.DUMMYFUNCTION("""COMPUTED_VALUE"""),"Josefína Turková")</f>
        <v>Josefína Turková</v>
      </c>
      <c r="C13" s="38">
        <f ca="1">IFERROR(__xludf.DUMMYFUNCTION("""COMPUTED_VALUE"""),2021)</f>
        <v>2021</v>
      </c>
      <c r="D13" s="38" t="str">
        <f ca="1">IFERROR(__xludf.DUMMYFUNCTION("""COMPUTED_VALUE"""),"Nejmladší děti - DÍVKY - ročník 2019 a mladší (300m)")</f>
        <v>Nejmladší děti - DÍVKY - ročník 2019 a mladší (300m)</v>
      </c>
      <c r="E13" s="38"/>
      <c r="F13" s="39">
        <v>7.0833333333333331E-2</v>
      </c>
      <c r="G13" s="134" t="s">
        <v>26</v>
      </c>
    </row>
    <row r="14" spans="1:7" ht="13.2" x14ac:dyDescent="0.25">
      <c r="A14" s="105">
        <f ca="1">IFERROR(__xludf.DUMMYFUNCTION("""COMPUTED_VALUE"""),199)</f>
        <v>199</v>
      </c>
      <c r="B14" s="40" t="str">
        <f ca="1">IFERROR(__xludf.DUMMYFUNCTION("""COMPUTED_VALUE"""),"Skálová Michaela")</f>
        <v>Skálová Michaela</v>
      </c>
      <c r="C14" s="40">
        <f ca="1">IFERROR(__xludf.DUMMYFUNCTION("""COMPUTED_VALUE"""),2020)</f>
        <v>2020</v>
      </c>
      <c r="D14" s="40" t="str">
        <f ca="1">IFERROR(__xludf.DUMMYFUNCTION("""COMPUTED_VALUE"""),"Nejmladší děti - DÍVKY - ročník 2019 a mladší (300m)")</f>
        <v>Nejmladší děti - DÍVKY - ročník 2019 a mladší (300m)</v>
      </c>
      <c r="E14" s="40"/>
      <c r="F14" s="112">
        <v>7.1527777777777773E-2</v>
      </c>
      <c r="G14" s="134" t="s">
        <v>27</v>
      </c>
    </row>
    <row r="15" spans="1:7" ht="13.2" x14ac:dyDescent="0.25">
      <c r="A15" s="105">
        <f ca="1">IFERROR(__xludf.DUMMYFUNCTION("""COMPUTED_VALUE"""),421)</f>
        <v>421</v>
      </c>
      <c r="B15" s="40" t="str">
        <f ca="1">IFERROR(__xludf.DUMMYFUNCTION("""COMPUTED_VALUE"""),"Pospíšilová Milena")</f>
        <v>Pospíšilová Milena</v>
      </c>
      <c r="C15" s="40">
        <f ca="1">IFERROR(__xludf.DUMMYFUNCTION("""COMPUTED_VALUE"""),2021)</f>
        <v>2021</v>
      </c>
      <c r="D15" s="40" t="str">
        <f ca="1">IFERROR(__xludf.DUMMYFUNCTION("""COMPUTED_VALUE"""),"Nejmladší děti - DÍVKY - ročník 2019 a mladší (300m)")</f>
        <v>Nejmladší děti - DÍVKY - ročník 2019 a mladší (300m)</v>
      </c>
      <c r="E15" s="40"/>
      <c r="F15" s="112">
        <v>7.3611111111111113E-2</v>
      </c>
      <c r="G15" s="134" t="s">
        <v>28</v>
      </c>
    </row>
    <row r="16" spans="1:7" ht="13.2" x14ac:dyDescent="0.25">
      <c r="A16" s="42">
        <f ca="1">IFERROR(__xludf.DUMMYFUNCTION("""COMPUTED_VALUE"""),298)</f>
        <v>298</v>
      </c>
      <c r="B16" s="40" t="str">
        <f ca="1">IFERROR(__xludf.DUMMYFUNCTION("""COMPUTED_VALUE"""),"Ulrichová Eliška")</f>
        <v>Ulrichová Eliška</v>
      </c>
      <c r="C16" s="40">
        <f ca="1">IFERROR(__xludf.DUMMYFUNCTION("""COMPUTED_VALUE"""),2021)</f>
        <v>2021</v>
      </c>
      <c r="D16" s="38" t="str">
        <f ca="1">IFERROR(__xludf.DUMMYFUNCTION("""COMPUTED_VALUE"""),"Nejmladší děti - DÍVKY - ročník 2019 a mladší (300m)")</f>
        <v>Nejmladší děti - DÍVKY - ročník 2019 a mladší (300m)</v>
      </c>
      <c r="E16" s="38" t="str">
        <f ca="1">IFERROR(__xludf.DUMMYFUNCTION("""COMPUTED_VALUE"""),"PH Litice")</f>
        <v>PH Litice</v>
      </c>
      <c r="F16" s="39">
        <v>7.7083333333333337E-2</v>
      </c>
      <c r="G16" s="134" t="s">
        <v>29</v>
      </c>
    </row>
    <row r="17" spans="1:8" ht="13.2" x14ac:dyDescent="0.25">
      <c r="A17" s="42">
        <f ca="1">IFERROR(__xludf.DUMMYFUNCTION("""COMPUTED_VALUE"""),225)</f>
        <v>225</v>
      </c>
      <c r="B17" s="40" t="str">
        <f ca="1">IFERROR(__xludf.DUMMYFUNCTION("""COMPUTED_VALUE"""),"Barunka Hlaváčiková")</f>
        <v>Barunka Hlaváčiková</v>
      </c>
      <c r="C17" s="40">
        <f ca="1">IFERROR(__xludf.DUMMYFUNCTION("""COMPUTED_VALUE"""),2022)</f>
        <v>2022</v>
      </c>
      <c r="D17" s="38" t="str">
        <f ca="1">IFERROR(__xludf.DUMMYFUNCTION("""COMPUTED_VALUE"""),"Nejmladší děti - DÍVKY - ročník 2019 a mladší (300m)")</f>
        <v>Nejmladší děti - DÍVKY - ročník 2019 a mladší (300m)</v>
      </c>
      <c r="E17" s="40" t="str">
        <f ca="1">IFERROR(__xludf.DUMMYFUNCTION("""COMPUTED_VALUE"""),"Baník Stříbro")</f>
        <v>Baník Stříbro</v>
      </c>
      <c r="F17" s="39">
        <v>8.6805555555555552E-2</v>
      </c>
      <c r="G17" s="134" t="s">
        <v>30</v>
      </c>
    </row>
    <row r="18" spans="1:8" ht="13.8" thickBot="1" x14ac:dyDescent="0.3">
      <c r="A18" s="135">
        <f ca="1">IFERROR(__xludf.DUMMYFUNCTION("""COMPUTED_VALUE"""),418)</f>
        <v>418</v>
      </c>
      <c r="B18" s="47" t="str">
        <f ca="1">IFERROR(__xludf.DUMMYFUNCTION("""COMPUTED_VALUE"""),"Rampichová Eliška")</f>
        <v>Rampichová Eliška</v>
      </c>
      <c r="C18" s="47">
        <f ca="1">IFERROR(__xludf.DUMMYFUNCTION("""COMPUTED_VALUE"""),2023)</f>
        <v>2023</v>
      </c>
      <c r="D18" s="47" t="str">
        <f ca="1">IFERROR(__xludf.DUMMYFUNCTION("""COMPUTED_VALUE"""),"Nejmladší děti - DÍVKY - ročník 2019 a mladší (300m)")</f>
        <v>Nejmladší děti - DÍVKY - ročník 2019 a mladší (300m)</v>
      </c>
      <c r="E18" s="47"/>
      <c r="F18" s="45">
        <v>9.0277777777777776E-2</v>
      </c>
      <c r="G18" s="134" t="s">
        <v>31</v>
      </c>
    </row>
    <row r="19" spans="1:8" ht="13.2" x14ac:dyDescent="0.25">
      <c r="A19" s="139"/>
      <c r="B19" s="139"/>
      <c r="C19" s="139"/>
      <c r="D19" s="139"/>
      <c r="E19" s="139"/>
      <c r="F19" s="140"/>
      <c r="G19" s="143"/>
      <c r="H19" s="141"/>
    </row>
    <row r="20" spans="1:8" ht="13.2" x14ac:dyDescent="0.25">
      <c r="A20" s="139"/>
      <c r="B20" s="139"/>
      <c r="C20" s="46"/>
      <c r="D20" s="139"/>
      <c r="E20" s="139"/>
      <c r="F20" s="140"/>
      <c r="G20" s="143"/>
      <c r="H20" s="141"/>
    </row>
    <row r="21" spans="1:8" ht="13.2" x14ac:dyDescent="0.25">
      <c r="A21" s="139"/>
      <c r="B21" s="139"/>
      <c r="C21" s="46"/>
      <c r="D21" s="139"/>
      <c r="E21" s="139"/>
      <c r="F21" s="140"/>
      <c r="G21" s="143"/>
      <c r="H21" s="141"/>
    </row>
    <row r="22" spans="1:8" ht="13.2" x14ac:dyDescent="0.25">
      <c r="A22" s="139"/>
      <c r="B22" s="139"/>
      <c r="C22" s="139"/>
      <c r="D22" s="46"/>
      <c r="E22" s="139"/>
      <c r="F22" s="140"/>
      <c r="G22" s="143"/>
      <c r="H22" s="141"/>
    </row>
    <row r="23" spans="1:8" ht="13.2" x14ac:dyDescent="0.25">
      <c r="A23" s="139"/>
      <c r="B23" s="139"/>
      <c r="C23" s="139"/>
      <c r="D23" s="139"/>
      <c r="E23" s="139"/>
      <c r="F23" s="140"/>
      <c r="G23" s="143"/>
      <c r="H23" s="141"/>
    </row>
    <row r="24" spans="1:8" ht="13.2" x14ac:dyDescent="0.25">
      <c r="A24" s="46"/>
      <c r="B24" s="46"/>
      <c r="C24" s="46"/>
      <c r="D24" s="46"/>
      <c r="E24" s="46"/>
      <c r="F24" s="46"/>
      <c r="G24" s="143"/>
      <c r="H24" s="141"/>
    </row>
    <row r="25" spans="1:8" ht="15.75" customHeight="1" x14ac:dyDescent="0.25">
      <c r="A25" s="141"/>
      <c r="B25" s="141"/>
      <c r="C25" s="141"/>
      <c r="D25" s="141"/>
      <c r="E25" s="141"/>
      <c r="F25" s="141"/>
      <c r="G25" s="144"/>
      <c r="H25" s="141"/>
    </row>
    <row r="33" spans="3:3" ht="13.2" x14ac:dyDescent="0.25">
      <c r="C33" s="142"/>
    </row>
  </sheetData>
  <phoneticPr fontId="2" type="noConversion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D3B6-3BA0-4F48-B1D6-A8BB757CBF36}">
  <sheetPr>
    <outlinePr summaryBelow="0" summaryRight="0"/>
  </sheetPr>
  <dimension ref="A1:H18"/>
  <sheetViews>
    <sheetView workbookViewId="0">
      <selection activeCell="D11" sqref="D11"/>
    </sheetView>
  </sheetViews>
  <sheetFormatPr defaultColWidth="12.77734375" defaultRowHeight="15.75" customHeight="1" x14ac:dyDescent="0.25"/>
  <cols>
    <col min="1" max="1" width="8.21875" customWidth="1"/>
    <col min="2" max="2" width="18.109375" customWidth="1"/>
    <col min="3" max="3" width="8.21875" customWidth="1"/>
    <col min="4" max="4" width="37.6640625" customWidth="1"/>
    <col min="5" max="5" width="22.109375" customWidth="1"/>
    <col min="6" max="6" width="10.21875" customWidth="1"/>
    <col min="7" max="7" width="7.77734375" customWidth="1"/>
  </cols>
  <sheetData>
    <row r="1" spans="1:8" ht="15.75" customHeight="1" x14ac:dyDescent="0.25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3" t="s">
        <v>6</v>
      </c>
    </row>
    <row r="2" spans="1:8" ht="13.2" x14ac:dyDescent="0.25">
      <c r="A2" s="21">
        <f ca="1">IFERROR(__xludf.DUMMYFUNCTION("IFERROR(FILTER('Odpovědi formuláře 1'!B:H, 'Odpovědi formuláře 1'!F:F=""Junioři a juniorky - ročník 2007-2008 (3000m)""), """")"),433)</f>
        <v>433</v>
      </c>
      <c r="B2" s="11" t="str">
        <f ca="1">IFERROR(__xludf.DUMMYFUNCTION("""COMPUTED_VALUE"""),"Rutarová")</f>
        <v>Rutarová</v>
      </c>
      <c r="C2" s="11">
        <f ca="1">IFERROR(__xludf.DUMMYFUNCTION("""COMPUTED_VALUE"""),2007)</f>
        <v>2007</v>
      </c>
      <c r="D2" s="11" t="str">
        <f ca="1">IFERROR(__xludf.DUMMYFUNCTION("""COMPUTED_VALUE"""),"Junioři a juniorky - ročník 2007-2008 (3000m)")</f>
        <v>Junioři a juniorky - ročník 2007-2008 (3000m)</v>
      </c>
      <c r="E2" s="11" t="str">
        <f ca="1">IFERROR(__xludf.DUMMYFUNCTION("""COMPUTED_VALUE"""),"Triatlon Plzeň")</f>
        <v>Triatlon Plzeň</v>
      </c>
      <c r="F2" s="13">
        <v>0.57986111111111116</v>
      </c>
      <c r="G2" s="22" t="s">
        <v>15</v>
      </c>
    </row>
    <row r="3" spans="1:8" ht="13.8" thickBot="1" x14ac:dyDescent="0.3">
      <c r="A3" s="34">
        <f ca="1">IFERROR(__xludf.DUMMYFUNCTION("""COMPUTED_VALUE"""),300)</f>
        <v>300</v>
      </c>
      <c r="B3" s="35" t="str">
        <f ca="1">IFERROR(__xludf.DUMMYFUNCTION("""COMPUTED_VALUE"""),"Chlebanová Anežka")</f>
        <v>Chlebanová Anežka</v>
      </c>
      <c r="C3" s="35">
        <f ca="1">IFERROR(__xludf.DUMMYFUNCTION("""COMPUTED_VALUE"""),2008)</f>
        <v>2008</v>
      </c>
      <c r="D3" s="35" t="str">
        <f ca="1">IFERROR(__xludf.DUMMYFUNCTION("""COMPUTED_VALUE"""),"Junioři a juniorky - ročník 2007-2008 (3000m)")</f>
        <v>Junioři a juniorky - ročník 2007-2008 (3000m)</v>
      </c>
      <c r="E3" s="35" t="str">
        <f ca="1">IFERROR(__xludf.DUMMYFUNCTION("""COMPUTED_VALUE"""),"Aktiv Sport Horšovský Týn")</f>
        <v>Aktiv Sport Horšovský Týn</v>
      </c>
      <c r="F3" s="36">
        <v>0.86250000000000004</v>
      </c>
      <c r="G3" s="37" t="s">
        <v>16</v>
      </c>
    </row>
    <row r="4" spans="1:8" ht="15.75" customHeight="1" x14ac:dyDescent="0.25">
      <c r="A4" s="7"/>
      <c r="B4" s="7"/>
      <c r="C4" s="7"/>
      <c r="D4" s="7"/>
      <c r="E4" s="7"/>
      <c r="F4" s="9"/>
      <c r="G4" s="7"/>
      <c r="H4" s="10"/>
    </row>
    <row r="5" spans="1:8" ht="13.2" x14ac:dyDescent="0.25">
      <c r="A5" s="7"/>
      <c r="B5" s="7"/>
      <c r="C5" s="7"/>
      <c r="D5" s="7"/>
      <c r="E5" s="7"/>
      <c r="F5" s="7"/>
      <c r="G5" s="7"/>
      <c r="H5" s="10"/>
    </row>
    <row r="6" spans="1:8" ht="13.2" x14ac:dyDescent="0.25">
      <c r="A6" s="8"/>
      <c r="B6" s="8"/>
      <c r="C6" s="8"/>
      <c r="D6" s="8"/>
      <c r="E6" s="8"/>
      <c r="F6" s="8"/>
      <c r="G6" s="8"/>
      <c r="H6" s="10"/>
    </row>
    <row r="7" spans="1:8" ht="13.2" x14ac:dyDescent="0.25">
      <c r="A7" s="8"/>
      <c r="B7" s="8"/>
      <c r="C7" s="8"/>
      <c r="D7" s="8"/>
      <c r="E7" s="8"/>
      <c r="F7" s="8"/>
      <c r="G7" s="8"/>
      <c r="H7" s="10"/>
    </row>
    <row r="8" spans="1:8" ht="13.2" x14ac:dyDescent="0.25">
      <c r="A8" s="8"/>
      <c r="B8" s="8"/>
      <c r="C8" s="8"/>
      <c r="D8" s="8"/>
      <c r="E8" s="8"/>
      <c r="F8" s="8"/>
      <c r="G8" s="8"/>
      <c r="H8" s="10"/>
    </row>
    <row r="9" spans="1:8" ht="13.2" x14ac:dyDescent="0.25">
      <c r="A9" s="8"/>
      <c r="B9" s="8"/>
      <c r="C9" s="8"/>
      <c r="D9" s="8"/>
      <c r="E9" s="8"/>
      <c r="F9" s="8"/>
      <c r="G9" s="8"/>
      <c r="H9" s="10"/>
    </row>
    <row r="10" spans="1:8" ht="13.2" x14ac:dyDescent="0.25">
      <c r="A10" s="8"/>
      <c r="B10" s="8"/>
      <c r="C10" s="8"/>
      <c r="D10" s="8"/>
      <c r="E10" s="8"/>
      <c r="F10" s="8"/>
      <c r="G10" s="8"/>
      <c r="H10" s="10"/>
    </row>
    <row r="11" spans="1:8" ht="13.2" x14ac:dyDescent="0.25">
      <c r="A11" s="8"/>
      <c r="B11" s="8"/>
      <c r="C11" s="8"/>
      <c r="D11" s="8"/>
      <c r="E11" s="8"/>
      <c r="F11" s="8"/>
      <c r="G11" s="8"/>
      <c r="H11" s="10"/>
    </row>
    <row r="12" spans="1:8" ht="13.2" x14ac:dyDescent="0.25">
      <c r="A12" s="8"/>
      <c r="B12" s="8"/>
      <c r="C12" s="8"/>
      <c r="D12" s="8"/>
      <c r="E12" s="8"/>
      <c r="F12" s="8"/>
      <c r="G12" s="8"/>
      <c r="H12" s="10"/>
    </row>
    <row r="13" spans="1:8" ht="13.2" x14ac:dyDescent="0.25">
      <c r="A13" s="8"/>
      <c r="B13" s="8"/>
      <c r="C13" s="8"/>
      <c r="D13" s="8"/>
      <c r="E13" s="8"/>
      <c r="F13" s="8"/>
      <c r="G13" s="8"/>
      <c r="H13" s="10"/>
    </row>
    <row r="14" spans="1:8" ht="13.2" x14ac:dyDescent="0.25">
      <c r="A14" s="8"/>
      <c r="B14" s="8"/>
      <c r="C14" s="8"/>
      <c r="D14" s="8"/>
      <c r="E14" s="8"/>
      <c r="F14" s="8"/>
      <c r="G14" s="8"/>
      <c r="H14" s="10"/>
    </row>
    <row r="15" spans="1:8" ht="13.2" x14ac:dyDescent="0.25">
      <c r="A15" s="8"/>
      <c r="B15" s="8"/>
      <c r="C15" s="8"/>
      <c r="D15" s="8"/>
      <c r="E15" s="8"/>
      <c r="F15" s="8"/>
      <c r="G15" s="8"/>
      <c r="H15" s="10"/>
    </row>
    <row r="16" spans="1:8" ht="13.2" x14ac:dyDescent="0.25">
      <c r="A16" s="8"/>
      <c r="B16" s="8"/>
      <c r="C16" s="8"/>
      <c r="D16" s="8"/>
      <c r="E16" s="8"/>
      <c r="F16" s="8"/>
      <c r="G16" s="8"/>
      <c r="H16" s="10"/>
    </row>
    <row r="17" spans="1:8" ht="13.2" x14ac:dyDescent="0.25">
      <c r="A17" s="8"/>
      <c r="B17" s="8"/>
      <c r="C17" s="8"/>
      <c r="D17" s="8"/>
      <c r="E17" s="8"/>
      <c r="F17" s="8"/>
      <c r="G17" s="8"/>
      <c r="H17" s="10"/>
    </row>
    <row r="18" spans="1:8" ht="15.75" customHeight="1" x14ac:dyDescent="0.25">
      <c r="A18" s="10"/>
      <c r="B18" s="10"/>
      <c r="C18" s="10"/>
      <c r="D18" s="10"/>
      <c r="E18" s="10"/>
      <c r="F18" s="10"/>
      <c r="G18" s="10"/>
      <c r="H18" s="10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1E6F2-8A8F-4B9C-A9A5-D23B1755D09A}">
  <sheetPr>
    <outlinePr summaryBelow="0" summaryRight="0"/>
  </sheetPr>
  <dimension ref="A1:H16"/>
  <sheetViews>
    <sheetView workbookViewId="0">
      <selection activeCell="D10" sqref="D10"/>
    </sheetView>
  </sheetViews>
  <sheetFormatPr defaultColWidth="12.77734375" defaultRowHeight="15.75" customHeight="1" x14ac:dyDescent="0.25"/>
  <cols>
    <col min="1" max="1" width="8.21875" customWidth="1"/>
    <col min="2" max="2" width="14.77734375" customWidth="1"/>
    <col min="3" max="3" width="8" customWidth="1"/>
    <col min="4" max="4" width="34.21875" customWidth="1"/>
    <col min="5" max="5" width="27.5546875" customWidth="1"/>
    <col min="7" max="7" width="8" customWidth="1"/>
  </cols>
  <sheetData>
    <row r="1" spans="1:8" ht="15.75" customHeight="1" x14ac:dyDescent="0.25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3" t="s">
        <v>6</v>
      </c>
    </row>
    <row r="2" spans="1:8" ht="13.2" x14ac:dyDescent="0.25">
      <c r="A2" s="41">
        <f ca="1">IFERROR(__xludf.DUMMYFUNCTION("""COMPUTED_VALUE"""),246)</f>
        <v>246</v>
      </c>
      <c r="B2" s="38" t="str">
        <f ca="1">IFERROR(__xludf.DUMMYFUNCTION("""COMPUTED_VALUE"""),"Andre Catalanotti")</f>
        <v>Andre Catalanotti</v>
      </c>
      <c r="C2" s="38">
        <f ca="1">IFERROR(__xludf.DUMMYFUNCTION("""COMPUTED_VALUE"""),2010)</f>
        <v>2010</v>
      </c>
      <c r="D2" s="38" t="s">
        <v>38</v>
      </c>
      <c r="E2" s="38" t="str">
        <f ca="1">IFERROR(__xludf.DUMMYFUNCTION("""COMPUTED_VALUE"""),"AC Domažlice")</f>
        <v>AC Domažlice</v>
      </c>
      <c r="F2" s="39">
        <v>0.50555555555555554</v>
      </c>
      <c r="G2" s="20" t="s">
        <v>15</v>
      </c>
    </row>
    <row r="3" spans="1:8" ht="15.75" customHeight="1" x14ac:dyDescent="0.25">
      <c r="A3" s="42">
        <f ca="1">IFERROR(__xludf.DUMMYFUNCTION("""COMPUTED_VALUE"""),419)</f>
        <v>419</v>
      </c>
      <c r="B3" s="40" t="str">
        <f ca="1">IFERROR(__xludf.DUMMYFUNCTION("""COMPUTED_VALUE"""),"Černý Viktor")</f>
        <v>Černý Viktor</v>
      </c>
      <c r="C3" s="40">
        <f ca="1">IFERROR(__xludf.DUMMYFUNCTION("""COMPUTED_VALUE"""),2010)</f>
        <v>2010</v>
      </c>
      <c r="D3" s="38" t="s">
        <v>38</v>
      </c>
      <c r="E3" s="40" t="str">
        <f ca="1">IFERROR(__xludf.DUMMYFUNCTION("""COMPUTED_VALUE"""),"TJ Sokol SG Plzeň-Petřín")</f>
        <v>TJ Sokol SG Plzeň-Petřín</v>
      </c>
      <c r="F3" s="39">
        <v>0.52152777777777781</v>
      </c>
      <c r="G3" s="22" t="s">
        <v>16</v>
      </c>
    </row>
    <row r="4" spans="1:8" ht="13.2" x14ac:dyDescent="0.25">
      <c r="A4" s="41">
        <f ca="1">IFERROR(__xludf.DUMMYFUNCTION("""COMPUTED_VALUE"""),392)</f>
        <v>392</v>
      </c>
      <c r="B4" s="38" t="str">
        <f ca="1">IFERROR(__xludf.DUMMYFUNCTION("""COMPUTED_VALUE"""),"Lukáš Panzer")</f>
        <v>Lukáš Panzer</v>
      </c>
      <c r="C4" s="38">
        <f ca="1">IFERROR(__xludf.DUMMYFUNCTION("""COMPUTED_VALUE"""),2010)</f>
        <v>2010</v>
      </c>
      <c r="D4" s="38" t="s">
        <v>38</v>
      </c>
      <c r="E4" s="38" t="str">
        <f ca="1">IFERROR(__xludf.DUMMYFUNCTION("""COMPUTED_VALUE"""),"AK Škoda Plzeň")</f>
        <v>AK Škoda Plzeň</v>
      </c>
      <c r="F4" s="39">
        <v>0.53680555555555554</v>
      </c>
      <c r="G4" s="20" t="s">
        <v>18</v>
      </c>
    </row>
    <row r="5" spans="1:8" ht="13.2" x14ac:dyDescent="0.25">
      <c r="A5" s="42">
        <f ca="1">IFERROR(__xludf.DUMMYFUNCTION("""COMPUTED_VALUE"""),88)</f>
        <v>88</v>
      </c>
      <c r="B5" s="40" t="str">
        <f ca="1">IFERROR(__xludf.DUMMYFUNCTION("""COMPUTED_VALUE"""),"Jan Kovařík")</f>
        <v>Jan Kovařík</v>
      </c>
      <c r="C5" s="40">
        <f ca="1">IFERROR(__xludf.DUMMYFUNCTION("""COMPUTED_VALUE"""),2010)</f>
        <v>2010</v>
      </c>
      <c r="D5" s="38" t="s">
        <v>38</v>
      </c>
      <c r="E5" s="40" t="str">
        <f ca="1">IFERROR(__xludf.DUMMYFUNCTION("""COMPUTED_VALUE"""),"PH Litice")</f>
        <v>PH Litice</v>
      </c>
      <c r="F5" s="39">
        <v>0.60833333333333328</v>
      </c>
      <c r="G5" s="22" t="s">
        <v>17</v>
      </c>
    </row>
    <row r="6" spans="1:8" ht="13.2" x14ac:dyDescent="0.25">
      <c r="A6" s="41">
        <f ca="1">IFERROR(__xludf.DUMMYFUNCTION("""COMPUTED_VALUE"""),426)</f>
        <v>426</v>
      </c>
      <c r="B6" s="38" t="str">
        <f ca="1">IFERROR(__xludf.DUMMYFUNCTION("""COMPUTED_VALUE"""),"Smolík Marek")</f>
        <v>Smolík Marek</v>
      </c>
      <c r="C6" s="38">
        <f ca="1">IFERROR(__xludf.DUMMYFUNCTION("""COMPUTED_VALUE"""),2010)</f>
        <v>2010</v>
      </c>
      <c r="D6" s="38" t="s">
        <v>38</v>
      </c>
      <c r="E6" s="38" t="str">
        <f ca="1">IFERROR(__xludf.DUMMYFUNCTION("""COMPUTED_VALUE"""),"Aktiv Sport Horšovský Týn")</f>
        <v>Aktiv Sport Horšovský Týn</v>
      </c>
      <c r="F6" s="39">
        <v>0.64375000000000004</v>
      </c>
      <c r="G6" s="20" t="s">
        <v>19</v>
      </c>
    </row>
    <row r="7" spans="1:8" ht="15.75" customHeight="1" thickBot="1" x14ac:dyDescent="0.3">
      <c r="A7" s="43">
        <f ca="1">IFERROR(__xludf.DUMMYFUNCTION("""COMPUTED_VALUE"""),239)</f>
        <v>239</v>
      </c>
      <c r="B7" s="44" t="str">
        <f ca="1">IFERROR(__xludf.DUMMYFUNCTION("""COMPUTED_VALUE"""),"Cejpek Martin")</f>
        <v>Cejpek Martin</v>
      </c>
      <c r="C7" s="44">
        <f ca="1">IFERROR(__xludf.DUMMYFUNCTION("""COMPUTED_VALUE"""),2009)</f>
        <v>2009</v>
      </c>
      <c r="D7" s="47" t="s">
        <v>38</v>
      </c>
      <c r="E7" s="44"/>
      <c r="F7" s="45">
        <v>0.73263888888888884</v>
      </c>
      <c r="G7" s="37" t="s">
        <v>20</v>
      </c>
    </row>
    <row r="8" spans="1:8" ht="13.2" x14ac:dyDescent="0.25">
      <c r="A8" s="7" t="str">
        <f ca="1">IFERROR(__xludf.DUMMYFUNCTION("IFERROR(FILTER('Odpovědi formuláře 1'!B:H, 'Odpovědi formuláře 1'!F:F=""Dorostenci - ročník 2008-2009 (3000m)""), """")"),"")</f>
        <v/>
      </c>
      <c r="B8" s="7"/>
      <c r="C8" s="7"/>
      <c r="D8" s="7"/>
      <c r="E8" s="7"/>
      <c r="F8" s="9"/>
      <c r="G8" s="7"/>
      <c r="H8" s="10"/>
    </row>
    <row r="9" spans="1:8" ht="13.2" x14ac:dyDescent="0.25">
      <c r="A9" s="7"/>
      <c r="B9" s="7"/>
      <c r="C9" s="7"/>
      <c r="D9" s="7"/>
      <c r="E9" s="7"/>
      <c r="F9" s="7"/>
      <c r="G9" s="7"/>
      <c r="H9" s="10"/>
    </row>
    <row r="10" spans="1:8" ht="13.2" x14ac:dyDescent="0.25">
      <c r="A10" s="8"/>
      <c r="B10" s="8"/>
      <c r="C10" s="8"/>
      <c r="D10" s="46"/>
      <c r="E10" s="8"/>
      <c r="F10" s="8"/>
      <c r="G10" s="8"/>
      <c r="H10" s="10"/>
    </row>
    <row r="11" spans="1:8" ht="13.2" x14ac:dyDescent="0.25">
      <c r="A11" s="8"/>
      <c r="B11" s="8"/>
      <c r="C11" s="8"/>
      <c r="D11" s="8"/>
      <c r="E11" s="8"/>
      <c r="F11" s="8"/>
      <c r="G11" s="8"/>
      <c r="H11" s="10"/>
    </row>
    <row r="12" spans="1:8" ht="13.2" x14ac:dyDescent="0.25">
      <c r="A12" s="8"/>
      <c r="B12" s="8"/>
      <c r="C12" s="8"/>
      <c r="D12" s="8"/>
      <c r="E12" s="8"/>
      <c r="F12" s="8"/>
      <c r="G12" s="8"/>
      <c r="H12" s="10"/>
    </row>
    <row r="13" spans="1:8" ht="13.2" x14ac:dyDescent="0.25">
      <c r="A13" s="8"/>
      <c r="B13" s="8"/>
      <c r="C13" s="8"/>
      <c r="D13" s="8"/>
      <c r="E13" s="8"/>
      <c r="F13" s="8"/>
      <c r="G13" s="8"/>
      <c r="H13" s="10"/>
    </row>
    <row r="14" spans="1:8" ht="13.2" x14ac:dyDescent="0.25">
      <c r="A14" s="8"/>
      <c r="B14" s="8"/>
      <c r="C14" s="8"/>
      <c r="D14" s="8"/>
      <c r="E14" s="8"/>
      <c r="F14" s="8"/>
      <c r="G14" s="8"/>
      <c r="H14" s="10"/>
    </row>
    <row r="15" spans="1:8" ht="13.2" x14ac:dyDescent="0.25">
      <c r="A15" s="8"/>
      <c r="B15" s="8"/>
      <c r="C15" s="8"/>
      <c r="D15" s="8"/>
      <c r="E15" s="8"/>
      <c r="F15" s="8"/>
      <c r="G15" s="8"/>
      <c r="H15" s="10"/>
    </row>
    <row r="16" spans="1:8" ht="13.2" x14ac:dyDescent="0.25">
      <c r="A16" s="8"/>
      <c r="B16" s="8"/>
      <c r="C16" s="8"/>
      <c r="D16" s="8"/>
      <c r="E16" s="8"/>
      <c r="F16" s="8"/>
      <c r="G16" s="8"/>
      <c r="H16" s="10"/>
    </row>
  </sheetData>
  <phoneticPr fontId="1" type="noConversion"/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2D4F-0CE9-460C-92A3-5B11BE6B2CF9}">
  <sheetPr>
    <outlinePr summaryBelow="0" summaryRight="0"/>
  </sheetPr>
  <dimension ref="A1:H18"/>
  <sheetViews>
    <sheetView workbookViewId="0">
      <selection activeCell="D16" sqref="D16"/>
    </sheetView>
  </sheetViews>
  <sheetFormatPr defaultColWidth="12.77734375" defaultRowHeight="15.75" customHeight="1" x14ac:dyDescent="0.25"/>
  <cols>
    <col min="1" max="1" width="7.21875" customWidth="1"/>
    <col min="2" max="2" width="19.109375" customWidth="1"/>
    <col min="3" max="3" width="7.77734375" customWidth="1"/>
    <col min="4" max="4" width="33.88671875" customWidth="1"/>
    <col min="5" max="5" width="23.21875" customWidth="1"/>
    <col min="7" max="7" width="6.77734375" customWidth="1"/>
  </cols>
  <sheetData>
    <row r="1" spans="1:8" ht="15.75" customHeight="1" x14ac:dyDescent="0.2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</row>
    <row r="2" spans="1:8" ht="13.2" x14ac:dyDescent="0.25">
      <c r="A2" s="38">
        <f ca="1">IFERROR(__xludf.DUMMYFUNCTION("""COMPUTED_VALUE"""),423)</f>
        <v>423</v>
      </c>
      <c r="B2" s="38" t="str">
        <f ca="1">IFERROR(__xludf.DUMMYFUNCTION("""COMPUTED_VALUE"""),"Kuchyňková Karolína")</f>
        <v>Kuchyňková Karolína</v>
      </c>
      <c r="C2" s="38">
        <f ca="1">IFERROR(__xludf.DUMMYFUNCTION("""COMPUTED_VALUE"""),2010)</f>
        <v>2010</v>
      </c>
      <c r="D2" s="38" t="str">
        <f ca="1">IFERROR(__xludf.DUMMYFUNCTION("""COMPUTED_VALUE"""),"Dorostenky - ročník 2009-2010 (2000m)")</f>
        <v>Dorostenky - ročník 2009-2010 (2000m)</v>
      </c>
      <c r="E2" s="38" t="str">
        <f ca="1">IFERROR(__xludf.DUMMYFUNCTION("""COMPUTED_VALUE"""),"Petřín")</f>
        <v>Petřín</v>
      </c>
      <c r="F2" s="39">
        <v>0.5708333333333333</v>
      </c>
      <c r="G2" s="38" t="s">
        <v>15</v>
      </c>
    </row>
    <row r="3" spans="1:8" ht="13.2" x14ac:dyDescent="0.25">
      <c r="A3" s="38">
        <f ca="1">IFERROR(__xludf.DUMMYFUNCTION("""COMPUTED_VALUE"""),202)</f>
        <v>202</v>
      </c>
      <c r="B3" s="38" t="str">
        <f ca="1">IFERROR(__xludf.DUMMYFUNCTION("""COMPUTED_VALUE"""),"Argmannová Anastázie")</f>
        <v>Argmannová Anastázie</v>
      </c>
      <c r="C3" s="38">
        <f ca="1">IFERROR(__xludf.DUMMYFUNCTION("""COMPUTED_VALUE"""),2010)</f>
        <v>2010</v>
      </c>
      <c r="D3" s="38" t="str">
        <f ca="1">IFERROR(__xludf.DUMMYFUNCTION("""COMPUTED_VALUE"""),"Dorostenky - ročník 2009-2010 (2000m)")</f>
        <v>Dorostenky - ročník 2009-2010 (2000m)</v>
      </c>
      <c r="E3" s="38" t="str">
        <f ca="1">IFERROR(__xludf.DUMMYFUNCTION("""COMPUTED_VALUE"""),"AC Domažlice")</f>
        <v>AC Domažlice</v>
      </c>
      <c r="F3" s="39">
        <v>0.58194444444444449</v>
      </c>
      <c r="G3" s="38" t="s">
        <v>16</v>
      </c>
    </row>
    <row r="4" spans="1:8" ht="13.2" x14ac:dyDescent="0.25">
      <c r="A4" s="40">
        <f ca="1">IFERROR(__xludf.DUMMYFUNCTION("""COMPUTED_VALUE"""),189)</f>
        <v>189</v>
      </c>
      <c r="B4" s="40" t="str">
        <f ca="1">IFERROR(__xludf.DUMMYFUNCTION("""COMPUTED_VALUE"""),"Eliška Volfová")</f>
        <v>Eliška Volfová</v>
      </c>
      <c r="C4" s="40">
        <f ca="1">IFERROR(__xludf.DUMMYFUNCTION("""COMPUTED_VALUE"""),2010)</f>
        <v>2010</v>
      </c>
      <c r="D4" s="40" t="str">
        <f ca="1">IFERROR(__xludf.DUMMYFUNCTION("""COMPUTED_VALUE"""),"Dorostenky - ročník 2009-2010 (2000m)")</f>
        <v>Dorostenky - ročník 2009-2010 (2000m)</v>
      </c>
      <c r="E4" s="40" t="str">
        <f ca="1">IFERROR(__xludf.DUMMYFUNCTION("""COMPUTED_VALUE"""),"Petřín")</f>
        <v>Petřín</v>
      </c>
      <c r="F4" s="39">
        <v>0.58611111111111114</v>
      </c>
      <c r="G4" s="38" t="s">
        <v>18</v>
      </c>
    </row>
    <row r="5" spans="1:8" ht="13.2" x14ac:dyDescent="0.25">
      <c r="A5" s="38">
        <f ca="1">IFERROR(__xludf.DUMMYFUNCTION("""COMPUTED_VALUE"""),190)</f>
        <v>190</v>
      </c>
      <c r="B5" s="38" t="str">
        <f ca="1">IFERROR(__xludf.DUMMYFUNCTION("""COMPUTED_VALUE"""),"Barbora Šatrová")</f>
        <v>Barbora Šatrová</v>
      </c>
      <c r="C5" s="38">
        <f ca="1">IFERROR(__xludf.DUMMYFUNCTION("""COMPUTED_VALUE"""),2010)</f>
        <v>2010</v>
      </c>
      <c r="D5" s="38" t="str">
        <f ca="1">IFERROR(__xludf.DUMMYFUNCTION("""COMPUTED_VALUE"""),"Dorostenky - ročník 2009-2010 (2000m)")</f>
        <v>Dorostenky - ročník 2009-2010 (2000m)</v>
      </c>
      <c r="E5" s="38" t="str">
        <f ca="1">IFERROR(__xludf.DUMMYFUNCTION("""COMPUTED_VALUE"""),"Petřín")</f>
        <v>Petřín</v>
      </c>
      <c r="F5" s="39">
        <v>0.59722222222222221</v>
      </c>
      <c r="G5" s="38" t="s">
        <v>17</v>
      </c>
    </row>
    <row r="6" spans="1:8" ht="13.2" x14ac:dyDescent="0.25">
      <c r="A6" s="40">
        <f ca="1">IFERROR(__xludf.DUMMYFUNCTION("""COMPUTED_VALUE"""),289)</f>
        <v>289</v>
      </c>
      <c r="B6" s="40" t="str">
        <f ca="1">IFERROR(__xludf.DUMMYFUNCTION("""COMPUTED_VALUE"""),"Rutarová Magdalena")</f>
        <v>Rutarová Magdalena</v>
      </c>
      <c r="C6" s="40">
        <f ca="1">IFERROR(__xludf.DUMMYFUNCTION("""COMPUTED_VALUE"""),2010)</f>
        <v>2010</v>
      </c>
      <c r="D6" s="40" t="str">
        <f ca="1">IFERROR(__xludf.DUMMYFUNCTION("""COMPUTED_VALUE"""),"Dorostenky - ročník 2009-2010 (2000m)")</f>
        <v>Dorostenky - ročník 2009-2010 (2000m)</v>
      </c>
      <c r="E6" s="40" t="str">
        <f ca="1">IFERROR(__xludf.DUMMYFUNCTION("""COMPUTED_VALUE"""),"Atletika Kyšice")</f>
        <v>Atletika Kyšice</v>
      </c>
      <c r="F6" s="39">
        <v>0.63055555555555554</v>
      </c>
      <c r="G6" s="38" t="s">
        <v>19</v>
      </c>
    </row>
    <row r="7" spans="1:8" ht="15.75" customHeight="1" x14ac:dyDescent="0.25">
      <c r="A7" s="40">
        <f ca="1">IFERROR(__xludf.DUMMYFUNCTION("IFERROR(FILTER('Odpovědi formuláře 1'!B:H, 'Odpovědi formuláře 1'!F:F=""Dorostenky - ročník 2009-2010 (2000m)""), """")"),288)</f>
        <v>288</v>
      </c>
      <c r="B7" s="40" t="str">
        <f ca="1">IFERROR(__xludf.DUMMYFUNCTION("""COMPUTED_VALUE"""),"Rutarová Kateřina")</f>
        <v>Rutarová Kateřina</v>
      </c>
      <c r="C7" s="40">
        <f ca="1">IFERROR(__xludf.DUMMYFUNCTION("""COMPUTED_VALUE"""),2010)</f>
        <v>2010</v>
      </c>
      <c r="D7" s="40" t="str">
        <f ca="1">IFERROR(__xludf.DUMMYFUNCTION("""COMPUTED_VALUE"""),"Dorostenky - ročník 2009-2010 (2000m)")</f>
        <v>Dorostenky - ročník 2009-2010 (2000m)</v>
      </c>
      <c r="E7" s="40" t="str">
        <f ca="1">IFERROR(__xludf.DUMMYFUNCTION("""COMPUTED_VALUE"""),"Atletika Kyšice")</f>
        <v>Atletika Kyšice</v>
      </c>
      <c r="F7" s="39">
        <v>0.65763888888888888</v>
      </c>
      <c r="G7" s="38" t="s">
        <v>20</v>
      </c>
    </row>
    <row r="8" spans="1:8" ht="15.75" customHeight="1" x14ac:dyDescent="0.25">
      <c r="A8" s="40">
        <f ca="1">IFERROR(__xludf.DUMMYFUNCTION("""COMPUTED_VALUE"""),427)</f>
        <v>427</v>
      </c>
      <c r="B8" s="40" t="str">
        <f ca="1">IFERROR(__xludf.DUMMYFUNCTION("""COMPUTED_VALUE"""),"Smolíková Emma")</f>
        <v>Smolíková Emma</v>
      </c>
      <c r="C8" s="40">
        <f ca="1">IFERROR(__xludf.DUMMYFUNCTION("""COMPUTED_VALUE"""),2010)</f>
        <v>2010</v>
      </c>
      <c r="D8" s="40" t="str">
        <f ca="1">IFERROR(__xludf.DUMMYFUNCTION("""COMPUTED_VALUE"""),"Dorostenky - ročník 2009-2010 (2000m)")</f>
        <v>Dorostenky - ročník 2009-2010 (2000m)</v>
      </c>
      <c r="E8" s="40" t="str">
        <f ca="1">IFERROR(__xludf.DUMMYFUNCTION("""COMPUTED_VALUE"""),"Aktiv Sport Horšovský Týn")</f>
        <v>Aktiv Sport Horšovský Týn</v>
      </c>
      <c r="F8" s="39">
        <v>0.86388888888888893</v>
      </c>
      <c r="G8" s="38" t="s">
        <v>21</v>
      </c>
    </row>
    <row r="9" spans="1:8" ht="13.2" x14ac:dyDescent="0.25">
      <c r="A9" s="38">
        <v>450</v>
      </c>
      <c r="B9" s="38" t="str">
        <f ca="1">IFERROR(__xludf.DUMMYFUNCTION("""COMPUTED_VALUE"""),"Ema Dokulilová")</f>
        <v>Ema Dokulilová</v>
      </c>
      <c r="C9" s="38">
        <f ca="1">IFERROR(__xludf.DUMMYFUNCTION("""COMPUTED_VALUE"""),2010)</f>
        <v>2010</v>
      </c>
      <c r="D9" s="38" t="str">
        <f ca="1">IFERROR(__xludf.DUMMYFUNCTION("""COMPUTED_VALUE"""),"Dorostenky - ročník 2009-2010 (2000m)")</f>
        <v>Dorostenky - ročník 2009-2010 (2000m)</v>
      </c>
      <c r="E9" s="38" t="s">
        <v>39</v>
      </c>
      <c r="F9" s="38"/>
      <c r="G9" s="38" t="s">
        <v>52</v>
      </c>
    </row>
    <row r="10" spans="1:8" ht="13.2" x14ac:dyDescent="0.25">
      <c r="A10" s="46"/>
      <c r="B10" s="46"/>
      <c r="C10" s="46"/>
      <c r="D10" s="46"/>
      <c r="E10" s="46"/>
      <c r="F10" s="46"/>
      <c r="G10" s="46"/>
      <c r="H10" s="10"/>
    </row>
    <row r="11" spans="1:8" ht="13.2" x14ac:dyDescent="0.25">
      <c r="A11" s="8"/>
      <c r="B11" s="8"/>
      <c r="C11" s="8"/>
      <c r="D11" s="8"/>
      <c r="E11" s="8"/>
      <c r="F11" s="8"/>
      <c r="G11" s="8"/>
      <c r="H11" s="10"/>
    </row>
    <row r="12" spans="1:8" ht="13.2" x14ac:dyDescent="0.25">
      <c r="A12" s="8"/>
      <c r="B12" s="8"/>
      <c r="C12" s="8"/>
      <c r="D12" s="8"/>
      <c r="E12" s="8"/>
      <c r="F12" s="8"/>
      <c r="G12" s="8"/>
      <c r="H12" s="10"/>
    </row>
    <row r="13" spans="1:8" ht="13.2" x14ac:dyDescent="0.25">
      <c r="A13" s="8"/>
      <c r="B13" s="8"/>
      <c r="C13" s="8"/>
      <c r="D13" s="8"/>
      <c r="E13" s="8"/>
      <c r="F13" s="8"/>
      <c r="G13" s="8"/>
      <c r="H13" s="10"/>
    </row>
    <row r="14" spans="1:8" ht="13.2" x14ac:dyDescent="0.25">
      <c r="A14" s="8"/>
      <c r="B14" s="8"/>
      <c r="C14" s="8"/>
      <c r="D14" s="8"/>
      <c r="E14" s="8"/>
      <c r="F14" s="8"/>
      <c r="G14" s="8"/>
      <c r="H14" s="10"/>
    </row>
    <row r="15" spans="1:8" ht="15.75" customHeight="1" x14ac:dyDescent="0.25">
      <c r="A15" s="10"/>
      <c r="B15" s="10"/>
      <c r="C15" s="10"/>
      <c r="D15" s="10"/>
      <c r="E15" s="10"/>
      <c r="F15" s="10"/>
      <c r="G15" s="10"/>
      <c r="H15" s="10"/>
    </row>
    <row r="16" spans="1:8" ht="15.75" customHeight="1" x14ac:dyDescent="0.25">
      <c r="A16" s="10"/>
      <c r="B16" s="10"/>
      <c r="C16" s="10"/>
      <c r="D16" s="10"/>
      <c r="E16" s="10"/>
      <c r="F16" s="10"/>
      <c r="G16" s="10"/>
      <c r="H16" s="10"/>
    </row>
    <row r="17" spans="1:8" ht="15.75" customHeight="1" x14ac:dyDescent="0.25">
      <c r="A17" s="10"/>
      <c r="B17" s="10"/>
      <c r="C17" s="10"/>
      <c r="D17" s="10"/>
      <c r="E17" s="10"/>
      <c r="F17" s="10"/>
      <c r="G17" s="10"/>
      <c r="H17" s="10"/>
    </row>
    <row r="18" spans="1:8" ht="15.75" customHeight="1" x14ac:dyDescent="0.25">
      <c r="A18" s="10"/>
      <c r="B18" s="10"/>
      <c r="C18" s="10"/>
      <c r="D18" s="10"/>
      <c r="E18" s="10"/>
      <c r="F18" s="10"/>
      <c r="G18" s="10"/>
      <c r="H18" s="10"/>
    </row>
  </sheetData>
  <phoneticPr fontId="1" type="noConversion"/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448E-C250-4290-8E05-7DD62967180F}">
  <sheetPr>
    <outlinePr summaryBelow="0" summaryRight="0"/>
  </sheetPr>
  <dimension ref="A1:G21"/>
  <sheetViews>
    <sheetView workbookViewId="0">
      <selection activeCell="H16" sqref="H15:H16"/>
    </sheetView>
  </sheetViews>
  <sheetFormatPr defaultColWidth="12.77734375" defaultRowHeight="15.75" customHeight="1" x14ac:dyDescent="0.25"/>
  <cols>
    <col min="1" max="1" width="7.21875" customWidth="1"/>
    <col min="2" max="2" width="15" customWidth="1"/>
    <col min="3" max="3" width="7" customWidth="1"/>
    <col min="4" max="4" width="33.21875" customWidth="1"/>
    <col min="5" max="5" width="23.33203125" customWidth="1"/>
    <col min="6" max="6" width="10.21875" customWidth="1"/>
    <col min="7" max="7" width="7" customWidth="1"/>
  </cols>
  <sheetData>
    <row r="1" spans="1:7" ht="13.2" x14ac:dyDescent="0.25">
      <c r="A1" s="152" t="s">
        <v>0</v>
      </c>
      <c r="B1" s="153" t="s">
        <v>1</v>
      </c>
      <c r="C1" s="153" t="s">
        <v>2</v>
      </c>
      <c r="D1" s="153" t="s">
        <v>3</v>
      </c>
      <c r="E1" s="153" t="s">
        <v>4</v>
      </c>
      <c r="F1" s="153" t="s">
        <v>5</v>
      </c>
      <c r="G1" s="154" t="s">
        <v>6</v>
      </c>
    </row>
    <row r="2" spans="1:7" ht="13.2" x14ac:dyDescent="0.25">
      <c r="A2" s="110">
        <f ca="1">IFERROR(__xludf.DUMMYFUNCTION("""COMPUTED_VALUE"""),235)</f>
        <v>235</v>
      </c>
      <c r="B2" s="38" t="str">
        <f ca="1">IFERROR(__xludf.DUMMYFUNCTION("""COMPUTED_VALUE"""),"Jan Krabec")</f>
        <v>Jan Krabec</v>
      </c>
      <c r="C2" s="38">
        <f ca="1">IFERROR(__xludf.DUMMYFUNCTION("""COMPUTED_VALUE"""),2012)</f>
        <v>2012</v>
      </c>
      <c r="D2" s="38" t="str">
        <f ca="1">IFERROR(__xludf.DUMMYFUNCTION("""COMPUTED_VALUE"""),"Starší žáci - ročník 2011-2012 (1000m)")</f>
        <v>Starší žáci - ročník 2011-2012 (1000m)</v>
      </c>
      <c r="E2" s="38" t="str">
        <f ca="1">IFERROR(__xludf.DUMMYFUNCTION("""COMPUTED_VALUE"""),"TJ Baník Stříbro")</f>
        <v>TJ Baník Stříbro</v>
      </c>
      <c r="F2" s="155">
        <v>0.15972222222222221</v>
      </c>
      <c r="G2" s="156" t="s">
        <v>15</v>
      </c>
    </row>
    <row r="3" spans="1:7" ht="13.2" x14ac:dyDescent="0.25">
      <c r="A3" s="41">
        <f ca="1">IFERROR(__xludf.DUMMYFUNCTION("""COMPUTED_VALUE"""),138)</f>
        <v>138</v>
      </c>
      <c r="B3" s="38" t="str">
        <f ca="1">IFERROR(__xludf.DUMMYFUNCTION("""COMPUTED_VALUE"""),"Jaroslav Vyhnal ")</f>
        <v xml:space="preserve">Jaroslav Vyhnal </v>
      </c>
      <c r="C3" s="38">
        <f ca="1">IFERROR(__xludf.DUMMYFUNCTION("""COMPUTED_VALUE"""),2012)</f>
        <v>2012</v>
      </c>
      <c r="D3" s="38" t="str">
        <f ca="1">IFERROR(__xludf.DUMMYFUNCTION("""COMPUTED_VALUE"""),"Starší žáci - ročník 2011-2012 (1000m)")</f>
        <v>Starší žáci - ročník 2011-2012 (1000m)</v>
      </c>
      <c r="E3" s="38" t="str">
        <f ca="1">IFERROR(__xludf.DUMMYFUNCTION("""COMPUTED_VALUE"""),"TJ Sokol SG Plzeň - Petřín ")</f>
        <v xml:space="preserve">TJ Sokol SG Plzeň - Petřín </v>
      </c>
      <c r="F3" s="146">
        <v>0.15972222222222221</v>
      </c>
      <c r="G3" s="157" t="s">
        <v>16</v>
      </c>
    </row>
    <row r="4" spans="1:7" ht="13.2" x14ac:dyDescent="0.25">
      <c r="A4" s="110">
        <f ca="1">IFERROR(__xludf.DUMMYFUNCTION("IFERROR(FILTER('Odpovědi formuláře 1'!B:H, 'Odpovědi formuláře 1'!F:F=""Starší žáci - ročník 2011-2012 (1000m)""), """")"),143)</f>
        <v>143</v>
      </c>
      <c r="B4" s="38" t="str">
        <f ca="1">IFERROR(__xludf.DUMMYFUNCTION("""COMPUTED_VALUE"""),"Šedivý Kryštof")</f>
        <v>Šedivý Kryštof</v>
      </c>
      <c r="C4" s="38">
        <f ca="1">IFERROR(__xludf.DUMMYFUNCTION("""COMPUTED_VALUE"""),2011)</f>
        <v>2011</v>
      </c>
      <c r="D4" s="38" t="str">
        <f ca="1">IFERROR(__xludf.DUMMYFUNCTION("""COMPUTED_VALUE"""),"Starší žáci - ročník 2011-2012 (1000m)")</f>
        <v>Starší žáci - ročník 2011-2012 (1000m)</v>
      </c>
      <c r="E4" s="38" t="str">
        <f ca="1">IFERROR(__xludf.DUMMYFUNCTION("""COMPUTED_VALUE"""),"Petřín")</f>
        <v>Petřín</v>
      </c>
      <c r="F4" s="155">
        <v>0.17986111111111111</v>
      </c>
      <c r="G4" s="156" t="s">
        <v>18</v>
      </c>
    </row>
    <row r="5" spans="1:7" ht="13.2" x14ac:dyDescent="0.25">
      <c r="A5" s="41">
        <f ca="1">IFERROR(__xludf.DUMMYFUNCTION("""COMPUTED_VALUE"""),252)</f>
        <v>252</v>
      </c>
      <c r="B5" s="38" t="str">
        <f ca="1">IFERROR(__xludf.DUMMYFUNCTION("""COMPUTED_VALUE"""),"Brož Adam")</f>
        <v>Brož Adam</v>
      </c>
      <c r="C5" s="38">
        <f ca="1">IFERROR(__xludf.DUMMYFUNCTION("""COMPUTED_VALUE"""),2011)</f>
        <v>2011</v>
      </c>
      <c r="D5" s="38" t="str">
        <f ca="1">IFERROR(__xludf.DUMMYFUNCTION("""COMPUTED_VALUE"""),"Starší žáci - ročník 2011-2012 (1000m)")</f>
        <v>Starší žáci - ročník 2011-2012 (1000m)</v>
      </c>
      <c r="E5" s="38" t="str">
        <f ca="1">IFERROR(__xludf.DUMMYFUNCTION("""COMPUTED_VALUE"""),"AC Falcon Rokycany")</f>
        <v>AC Falcon Rokycany</v>
      </c>
      <c r="F5" s="146">
        <v>0.18124999999999999</v>
      </c>
      <c r="G5" s="157" t="s">
        <v>17</v>
      </c>
    </row>
    <row r="6" spans="1:7" ht="13.2" x14ac:dyDescent="0.25">
      <c r="A6" s="110">
        <f ca="1">IFERROR(__xludf.DUMMYFUNCTION("""COMPUTED_VALUE"""),434)</f>
        <v>434</v>
      </c>
      <c r="B6" s="38" t="str">
        <f ca="1">IFERROR(__xludf.DUMMYFUNCTION("""COMPUTED_VALUE"""),"Bureš Jakub")</f>
        <v>Bureš Jakub</v>
      </c>
      <c r="C6" s="38">
        <f ca="1">IFERROR(__xludf.DUMMYFUNCTION("""COMPUTED_VALUE"""),2012)</f>
        <v>2012</v>
      </c>
      <c r="D6" s="38" t="str">
        <f ca="1">IFERROR(__xludf.DUMMYFUNCTION("""COMPUTED_VALUE"""),"Starší žáci - ročník 2011-2012 (1000m)")</f>
        <v>Starší žáci - ročník 2011-2012 (1000m)</v>
      </c>
      <c r="E6" s="38" t="str">
        <f ca="1">IFERROR(__xludf.DUMMYFUNCTION("""COMPUTED_VALUE"""),"TJ Sokol SG Plzeň-Petřín")</f>
        <v>TJ Sokol SG Plzeň-Petřín</v>
      </c>
      <c r="F6" s="155">
        <v>0.18194444444444444</v>
      </c>
      <c r="G6" s="156" t="s">
        <v>19</v>
      </c>
    </row>
    <row r="7" spans="1:7" ht="13.2" x14ac:dyDescent="0.25">
      <c r="A7" s="41">
        <f ca="1">IFERROR(__xludf.DUMMYFUNCTION("""COMPUTED_VALUE"""),20)</f>
        <v>20</v>
      </c>
      <c r="B7" s="38" t="str">
        <f ca="1">IFERROR(__xludf.DUMMYFUNCTION("""COMPUTED_VALUE"""),"Štěpán Cimpl")</f>
        <v>Štěpán Cimpl</v>
      </c>
      <c r="C7" s="38">
        <f ca="1">IFERROR(__xludf.DUMMYFUNCTION("""COMPUTED_VALUE"""),2012)</f>
        <v>2012</v>
      </c>
      <c r="D7" s="38" t="str">
        <f ca="1">IFERROR(__xludf.DUMMYFUNCTION("""COMPUTED_VALUE"""),"Starší žáci - ročník 2011-2012 (1000m)")</f>
        <v>Starší žáci - ročník 2011-2012 (1000m)</v>
      </c>
      <c r="E7" s="38" t="str">
        <f ca="1">IFERROR(__xludf.DUMMYFUNCTION("""COMPUTED_VALUE"""),"Typ Sport Horšovský Týn ")</f>
        <v xml:space="preserve">Typ Sport Horšovský Týn </v>
      </c>
      <c r="F7" s="146">
        <v>0.19444444444444445</v>
      </c>
      <c r="G7" s="157" t="s">
        <v>20</v>
      </c>
    </row>
    <row r="8" spans="1:7" ht="13.2" x14ac:dyDescent="0.25">
      <c r="A8" s="41">
        <f ca="1">IFERROR(__xludf.DUMMYFUNCTION("""COMPUTED_VALUE"""),250)</f>
        <v>250</v>
      </c>
      <c r="B8" s="38" t="str">
        <f ca="1">IFERROR(__xludf.DUMMYFUNCTION("""COMPUTED_VALUE"""),"Václav  Barnáš")</f>
        <v>Václav  Barnáš</v>
      </c>
      <c r="C8" s="38">
        <f ca="1">IFERROR(__xludf.DUMMYFUNCTION("""COMPUTED_VALUE"""),2012)</f>
        <v>2012</v>
      </c>
      <c r="D8" s="38" t="str">
        <f ca="1">IFERROR(__xludf.DUMMYFUNCTION("""COMPUTED_VALUE"""),"Starší žáci - ročník 2011-2012 (1000m)")</f>
        <v>Starší žáci - ročník 2011-2012 (1000m)</v>
      </c>
      <c r="E8" s="38" t="str">
        <f ca="1">IFERROR(__xludf.DUMMYFUNCTION("""COMPUTED_VALUE"""),"Barny team")</f>
        <v>Barny team</v>
      </c>
      <c r="F8" s="146">
        <v>0.20972222222222223</v>
      </c>
      <c r="G8" s="156" t="s">
        <v>21</v>
      </c>
    </row>
    <row r="9" spans="1:7" ht="13.8" thickBot="1" x14ac:dyDescent="0.3">
      <c r="A9" s="135">
        <f ca="1">IFERROR(__xludf.DUMMYFUNCTION("""COMPUTED_VALUE"""),435)</f>
        <v>435</v>
      </c>
      <c r="B9" s="47" t="str">
        <f ca="1">IFERROR(__xludf.DUMMYFUNCTION("""COMPUTED_VALUE"""),"Bureš Matej")</f>
        <v>Bureš Matej</v>
      </c>
      <c r="C9" s="47">
        <f ca="1">IFERROR(__xludf.DUMMYFUNCTION("""COMPUTED_VALUE"""),2012)</f>
        <v>2012</v>
      </c>
      <c r="D9" s="47" t="str">
        <f ca="1">IFERROR(__xludf.DUMMYFUNCTION("""COMPUTED_VALUE"""),"Starší žáci - ročník 2011-2012 (1000m)")</f>
        <v>Starší žáci - ročník 2011-2012 (1000m)</v>
      </c>
      <c r="E9" s="47" t="str">
        <f ca="1">IFERROR(__xludf.DUMMYFUNCTION("""COMPUTED_VALUE"""),"TJ Sokol SG Plzeň-Petřín")</f>
        <v>TJ Sokol SG Plzeň-Petřín</v>
      </c>
      <c r="F9" s="151">
        <v>0.21111111111111111</v>
      </c>
      <c r="G9" s="157" t="s">
        <v>22</v>
      </c>
    </row>
    <row r="10" spans="1:7" ht="13.2" x14ac:dyDescent="0.25">
      <c r="A10" s="48"/>
      <c r="B10" s="7"/>
      <c r="C10" s="7"/>
      <c r="D10" s="7"/>
      <c r="E10" s="7"/>
      <c r="F10" s="49"/>
      <c r="G10" s="48"/>
    </row>
    <row r="11" spans="1:7" ht="15.75" customHeight="1" x14ac:dyDescent="0.3">
      <c r="A11" s="50"/>
      <c r="B11" s="50"/>
      <c r="C11" s="50"/>
      <c r="D11" s="7"/>
      <c r="E11" s="7"/>
      <c r="F11" s="51"/>
      <c r="G11" s="52"/>
    </row>
    <row r="12" spans="1:7" ht="13.2" x14ac:dyDescent="0.25">
      <c r="A12" s="7"/>
      <c r="B12" s="7"/>
      <c r="C12" s="7"/>
      <c r="D12" s="7"/>
      <c r="E12" s="7"/>
      <c r="F12" s="9"/>
      <c r="G12" s="7"/>
    </row>
    <row r="13" spans="1:7" ht="15.75" customHeight="1" x14ac:dyDescent="0.3">
      <c r="A13" s="50"/>
      <c r="B13" s="50"/>
      <c r="C13" s="50"/>
      <c r="D13" s="7"/>
      <c r="E13" s="7"/>
      <c r="F13" s="53"/>
      <c r="G13" s="52"/>
    </row>
    <row r="14" spans="1:7" ht="13.2" x14ac:dyDescent="0.25">
      <c r="A14" s="7"/>
      <c r="B14" s="7"/>
      <c r="C14" s="7"/>
      <c r="D14" s="7"/>
      <c r="E14" s="7"/>
      <c r="F14" s="8"/>
      <c r="G14" s="8"/>
    </row>
    <row r="15" spans="1:7" ht="13.2" x14ac:dyDescent="0.25">
      <c r="A15" s="7"/>
      <c r="B15" s="7"/>
      <c r="C15" s="7"/>
      <c r="D15" s="7"/>
      <c r="E15" s="7"/>
      <c r="F15" s="8"/>
      <c r="G15" s="8"/>
    </row>
    <row r="16" spans="1:7" ht="13.2" x14ac:dyDescent="0.25">
      <c r="A16" s="7"/>
      <c r="B16" s="7"/>
      <c r="C16" s="7"/>
      <c r="D16" s="7"/>
      <c r="E16" s="54"/>
      <c r="F16" s="7"/>
      <c r="G16" s="7"/>
    </row>
    <row r="17" spans="1:7" ht="13.2" x14ac:dyDescent="0.25">
      <c r="A17" s="7"/>
      <c r="B17" s="7"/>
      <c r="C17" s="7"/>
      <c r="D17" s="7"/>
      <c r="E17" s="7"/>
      <c r="F17" s="8"/>
      <c r="G17" s="8"/>
    </row>
    <row r="18" spans="1:7" ht="13.2" x14ac:dyDescent="0.25">
      <c r="A18" s="7"/>
      <c r="B18" s="7"/>
      <c r="C18" s="7"/>
      <c r="D18" s="7"/>
      <c r="E18" s="7"/>
      <c r="F18" s="7"/>
      <c r="G18" s="7"/>
    </row>
    <row r="19" spans="1:7" ht="13.2" x14ac:dyDescent="0.25">
      <c r="A19" s="7"/>
      <c r="B19" s="7"/>
      <c r="C19" s="7"/>
      <c r="D19" s="7"/>
      <c r="E19" s="7"/>
      <c r="F19" s="8"/>
      <c r="G19" s="8"/>
    </row>
    <row r="20" spans="1:7" ht="15.75" customHeight="1" x14ac:dyDescent="0.25">
      <c r="A20" s="10"/>
      <c r="B20" s="10"/>
      <c r="C20" s="10"/>
      <c r="D20" s="10"/>
      <c r="E20" s="10"/>
      <c r="F20" s="10"/>
      <c r="G20" s="10"/>
    </row>
    <row r="21" spans="1:7" ht="15.75" customHeight="1" x14ac:dyDescent="0.25">
      <c r="A21" s="10"/>
      <c r="B21" s="10"/>
      <c r="C21" s="10"/>
      <c r="D21" s="10"/>
      <c r="E21" s="10"/>
      <c r="F21" s="10"/>
      <c r="G21" s="10"/>
    </row>
  </sheetData>
  <phoneticPr fontId="1" type="noConversion"/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22E29-BB44-481D-82A8-010FCD3DD4EE}">
  <sheetPr>
    <outlinePr summaryBelow="0" summaryRight="0"/>
  </sheetPr>
  <dimension ref="A1:H23"/>
  <sheetViews>
    <sheetView workbookViewId="0">
      <selection activeCell="D17" sqref="D17"/>
    </sheetView>
  </sheetViews>
  <sheetFormatPr defaultColWidth="12.77734375" defaultRowHeight="15.75" customHeight="1" x14ac:dyDescent="0.25"/>
  <cols>
    <col min="1" max="1" width="6.6640625" customWidth="1"/>
    <col min="2" max="2" width="23" customWidth="1"/>
    <col min="3" max="3" width="7.44140625" customWidth="1"/>
    <col min="4" max="4" width="36.21875" customWidth="1"/>
    <col min="5" max="5" width="23.44140625" customWidth="1"/>
    <col min="6" max="6" width="11.77734375" customWidth="1"/>
    <col min="7" max="7" width="7.21875" customWidth="1"/>
  </cols>
  <sheetData>
    <row r="1" spans="1:8" ht="15.75" customHeight="1" x14ac:dyDescent="0.25">
      <c r="A1" s="56" t="s">
        <v>0</v>
      </c>
      <c r="B1" s="57" t="s">
        <v>1</v>
      </c>
      <c r="C1" s="58" t="s">
        <v>2</v>
      </c>
      <c r="D1" s="58" t="s">
        <v>3</v>
      </c>
      <c r="E1" s="58" t="s">
        <v>4</v>
      </c>
      <c r="F1" s="57" t="s">
        <v>5</v>
      </c>
      <c r="G1" s="59" t="s">
        <v>6</v>
      </c>
    </row>
    <row r="2" spans="1:8" ht="13.2" x14ac:dyDescent="0.25">
      <c r="A2" s="21">
        <f ca="1">IFERROR(__xludf.DUMMYFUNCTION("""COMPUTED_VALUE"""),139)</f>
        <v>139</v>
      </c>
      <c r="B2" s="11" t="str">
        <f ca="1">IFERROR(__xludf.DUMMYFUNCTION("""COMPUTED_VALUE"""),"Hellerová Nikol")</f>
        <v>Hellerová Nikol</v>
      </c>
      <c r="C2" s="11">
        <f ca="1">IFERROR(__xludf.DUMMYFUNCTION("""COMPUTED_VALUE"""),2012)</f>
        <v>2012</v>
      </c>
      <c r="D2" s="11" t="str">
        <f ca="1">IFERROR(__xludf.DUMMYFUNCTION("""COMPUTED_VALUE"""),"Starší žákyně - ročník 2011-2012 (1000m)")</f>
        <v>Starší žákyně - ročník 2011-2012 (1000m)</v>
      </c>
      <c r="E2" s="11" t="str">
        <f ca="1">IFERROR(__xludf.DUMMYFUNCTION("""COMPUTED_VALUE"""),"TJ Sokol SG Plzeň")</f>
        <v>TJ Sokol SG Plzeň</v>
      </c>
      <c r="F2" s="13">
        <v>0.17986111111111111</v>
      </c>
      <c r="G2" s="22" t="s">
        <v>15</v>
      </c>
    </row>
    <row r="3" spans="1:8" ht="13.2" x14ac:dyDescent="0.25">
      <c r="A3" s="60">
        <f ca="1">IFERROR(__xludf.DUMMYFUNCTION("""COMPUTED_VALUE"""),207)</f>
        <v>207</v>
      </c>
      <c r="B3" s="11" t="str">
        <f ca="1">IFERROR(__xludf.DUMMYFUNCTION("""COMPUTED_VALUE"""),"SLUNEČKOVÁ Magdalena ")</f>
        <v xml:space="preserve">SLUNEČKOVÁ Magdalena </v>
      </c>
      <c r="C3" s="11">
        <f ca="1">IFERROR(__xludf.DUMMYFUNCTION("""COMPUTED_VALUE"""),2011)</f>
        <v>2011</v>
      </c>
      <c r="D3" s="11" t="str">
        <f ca="1">IFERROR(__xludf.DUMMYFUNCTION("""COMPUTED_VALUE"""),"Starší žákyně - ročník 2011-2012 (1000m)")</f>
        <v>Starší žákyně - ročník 2011-2012 (1000m)</v>
      </c>
      <c r="E3" s="11" t="str">
        <f ca="1">IFERROR(__xludf.DUMMYFUNCTION("""COMPUTED_VALUE"""),"TJ Sokol Plzeň Petřín ")</f>
        <v xml:space="preserve">TJ Sokol Plzeň Petřín </v>
      </c>
      <c r="F3" s="55">
        <v>0.18402777777777779</v>
      </c>
      <c r="G3" s="61" t="s">
        <v>16</v>
      </c>
    </row>
    <row r="4" spans="1:8" ht="13.2" x14ac:dyDescent="0.25">
      <c r="A4" s="21">
        <f ca="1">IFERROR(__xludf.DUMMYFUNCTION("IFERROR(FILTER('Odpovědi formuláře 1'!B:H, 'Odpovědi formuláře 1'!F:F=""Starší žákyně - ročník 2011-2012 (1000m)""), """")"),424)</f>
        <v>424</v>
      </c>
      <c r="B4" s="11" t="str">
        <f ca="1">IFERROR(__xludf.DUMMYFUNCTION("""COMPUTED_VALUE"""),"Ceplechová")</f>
        <v>Ceplechová</v>
      </c>
      <c r="C4" s="11">
        <f ca="1">IFERROR(__xludf.DUMMYFUNCTION("""COMPUTED_VALUE"""),2011)</f>
        <v>2011</v>
      </c>
      <c r="D4" s="12" t="str">
        <f ca="1">IFERROR(__xludf.DUMMYFUNCTION("""COMPUTED_VALUE"""),"Starší žákyně - ročník 2011-2012 (1000m)")</f>
        <v>Starší žákyně - ročník 2011-2012 (1000m)</v>
      </c>
      <c r="E4" s="11" t="str">
        <f ca="1">IFERROR(__xludf.DUMMYFUNCTION("""COMPUTED_VALUE"""),"Tempo Makers")</f>
        <v>Tempo Makers</v>
      </c>
      <c r="F4" s="13">
        <v>0.18680555555555556</v>
      </c>
      <c r="G4" s="22" t="s">
        <v>18</v>
      </c>
    </row>
    <row r="5" spans="1:8" ht="13.2" x14ac:dyDescent="0.25">
      <c r="A5" s="21">
        <f ca="1">IFERROR(__xludf.DUMMYFUNCTION("""COMPUTED_VALUE"""),287)</f>
        <v>287</v>
      </c>
      <c r="B5" s="11" t="str">
        <f ca="1">IFERROR(__xludf.DUMMYFUNCTION("""COMPUTED_VALUE"""),"Sladká Barbora")</f>
        <v>Sladká Barbora</v>
      </c>
      <c r="C5" s="11">
        <f ca="1">IFERROR(__xludf.DUMMYFUNCTION("""COMPUTED_VALUE"""),2011)</f>
        <v>2011</v>
      </c>
      <c r="D5" s="11" t="str">
        <f ca="1">IFERROR(__xludf.DUMMYFUNCTION("""COMPUTED_VALUE"""),"Starší žákyně - ročník 2011-2012 (1000m)")</f>
        <v>Starší žákyně - ročník 2011-2012 (1000m)</v>
      </c>
      <c r="E5" s="11" t="str">
        <f ca="1">IFERROR(__xludf.DUMMYFUNCTION("""COMPUTED_VALUE"""),"Atletika Kyšice")</f>
        <v>Atletika Kyšice</v>
      </c>
      <c r="F5" s="13">
        <v>0.1875</v>
      </c>
      <c r="G5" s="61" t="s">
        <v>17</v>
      </c>
    </row>
    <row r="6" spans="1:8" ht="13.2" x14ac:dyDescent="0.25">
      <c r="A6" s="21">
        <f ca="1">IFERROR(__xludf.DUMMYFUNCTION("""COMPUTED_VALUE"""),425)</f>
        <v>425</v>
      </c>
      <c r="B6" s="11" t="str">
        <f ca="1">IFERROR(__xludf.DUMMYFUNCTION("""COMPUTED_VALUE"""),"Ceplechová")</f>
        <v>Ceplechová</v>
      </c>
      <c r="C6" s="11">
        <f ca="1">IFERROR(__xludf.DUMMYFUNCTION("""COMPUTED_VALUE"""),2011)</f>
        <v>2011</v>
      </c>
      <c r="D6" s="11" t="str">
        <f ca="1">IFERROR(__xludf.DUMMYFUNCTION("""COMPUTED_VALUE"""),"Starší žákyně - ročník 2011-2012 (1000m)")</f>
        <v>Starší žákyně - ročník 2011-2012 (1000m)</v>
      </c>
      <c r="E6" s="11" t="str">
        <f ca="1">IFERROR(__xludf.DUMMYFUNCTION("""COMPUTED_VALUE"""),"Tempo Makers")</f>
        <v>Tempo Makers</v>
      </c>
      <c r="F6" s="13">
        <v>0.18888888888888888</v>
      </c>
      <c r="G6" s="22" t="s">
        <v>19</v>
      </c>
    </row>
    <row r="7" spans="1:8" ht="13.2" x14ac:dyDescent="0.25">
      <c r="A7" s="60">
        <f ca="1">IFERROR(__xludf.DUMMYFUNCTION("""COMPUTED_VALUE"""),186)</f>
        <v>186</v>
      </c>
      <c r="B7" s="11" t="str">
        <f ca="1">IFERROR(__xludf.DUMMYFUNCTION("""COMPUTED_VALUE"""),"Karasová Ema")</f>
        <v>Karasová Ema</v>
      </c>
      <c r="C7" s="11">
        <f ca="1">IFERROR(__xludf.DUMMYFUNCTION("""COMPUTED_VALUE"""),2012)</f>
        <v>2012</v>
      </c>
      <c r="D7" s="11" t="str">
        <f ca="1">IFERROR(__xludf.DUMMYFUNCTION("""COMPUTED_VALUE"""),"Starší žákyně - ročník 2011-2012 (1000m)")</f>
        <v>Starší žákyně - ročník 2011-2012 (1000m)</v>
      </c>
      <c r="E7" s="11" t="str">
        <f ca="1">IFERROR(__xludf.DUMMYFUNCTION("""COMPUTED_VALUE"""),"TJ Sokol SG Plzeň-Petřín")</f>
        <v>TJ Sokol SG Plzeň-Petřín</v>
      </c>
      <c r="F7" s="55">
        <v>0.19375000000000001</v>
      </c>
      <c r="G7" s="61" t="s">
        <v>20</v>
      </c>
    </row>
    <row r="8" spans="1:8" ht="13.2" x14ac:dyDescent="0.25">
      <c r="A8" s="60">
        <f ca="1">IFERROR(__xludf.DUMMYFUNCTION("""COMPUTED_VALUE"""),437)</f>
        <v>437</v>
      </c>
      <c r="B8" s="11" t="str">
        <f ca="1">IFERROR(__xludf.DUMMYFUNCTION("""COMPUTED_VALUE"""),"Čmolíková MADLA")</f>
        <v>Čmolíková MADLA</v>
      </c>
      <c r="C8" s="11">
        <f ca="1">IFERROR(__xludf.DUMMYFUNCTION("""COMPUTED_VALUE"""),2011)</f>
        <v>2011</v>
      </c>
      <c r="D8" s="11" t="str">
        <f ca="1">IFERROR(__xludf.DUMMYFUNCTION("""COMPUTED_VALUE"""),"Starší žákyně - ročník 2011-2012 (1000m)")</f>
        <v>Starší žákyně - ročník 2011-2012 (1000m)</v>
      </c>
      <c r="E8" s="11" t="str">
        <f ca="1">IFERROR(__xludf.DUMMYFUNCTION("""COMPUTED_VALUE"""),"AC Falcon Rokycany ")</f>
        <v xml:space="preserve">AC Falcon Rokycany </v>
      </c>
      <c r="F8" s="55">
        <v>0.21041666666666667</v>
      </c>
      <c r="G8" s="22" t="s">
        <v>21</v>
      </c>
    </row>
    <row r="9" spans="1:8" ht="13.2" x14ac:dyDescent="0.25">
      <c r="A9" s="21">
        <f ca="1">IFERROR(__xludf.DUMMYFUNCTION("""COMPUTED_VALUE"""),395)</f>
        <v>395</v>
      </c>
      <c r="B9" s="11" t="str">
        <f ca="1">IFERROR(__xludf.DUMMYFUNCTION("""COMPUTED_VALUE"""),"Anna Dědová")</f>
        <v>Anna Dědová</v>
      </c>
      <c r="C9" s="11">
        <f ca="1">IFERROR(__xludf.DUMMYFUNCTION("""COMPUTED_VALUE"""),2011)</f>
        <v>2011</v>
      </c>
      <c r="D9" s="11" t="str">
        <f ca="1">IFERROR(__xludf.DUMMYFUNCTION("""COMPUTED_VALUE"""),"Starší žákyně - ročník 2011-2012 (1000m)")</f>
        <v>Starší žákyně - ročník 2011-2012 (1000m)</v>
      </c>
      <c r="E9" s="11" t="str">
        <f ca="1">IFERROR(__xludf.DUMMYFUNCTION("""COMPUTED_VALUE"""),"SG Petřín")</f>
        <v>SG Petřín</v>
      </c>
      <c r="F9" s="13">
        <v>0.21319444444444444</v>
      </c>
      <c r="G9" s="61" t="s">
        <v>22</v>
      </c>
    </row>
    <row r="10" spans="1:8" ht="13.8" thickBot="1" x14ac:dyDescent="0.3">
      <c r="A10" s="34">
        <f ca="1">IFERROR(__xludf.DUMMYFUNCTION("""COMPUTED_VALUE"""),428)</f>
        <v>428</v>
      </c>
      <c r="B10" s="35" t="str">
        <f ca="1">IFERROR(__xludf.DUMMYFUNCTION("""COMPUTED_VALUE"""),"Kopecká Anfrea")</f>
        <v>Kopecká Anfrea</v>
      </c>
      <c r="C10" s="35">
        <f ca="1">IFERROR(__xludf.DUMMYFUNCTION("""COMPUTED_VALUE"""),2012)</f>
        <v>2012</v>
      </c>
      <c r="D10" s="35" t="str">
        <f ca="1">IFERROR(__xludf.DUMMYFUNCTION("""COMPUTED_VALUE"""),"Starší žákyně - ročník 2011-2012 (1000m)")</f>
        <v>Starší žákyně - ročník 2011-2012 (1000m)</v>
      </c>
      <c r="E10" s="35" t="str">
        <f ca="1">IFERROR(__xludf.DUMMYFUNCTION("""COMPUTED_VALUE"""),"TJ Baník Stříbro ")</f>
        <v xml:space="preserve">TJ Baník Stříbro </v>
      </c>
      <c r="F10" s="36">
        <v>0.22361111111111112</v>
      </c>
      <c r="G10" s="37" t="s">
        <v>23</v>
      </c>
    </row>
    <row r="11" spans="1:8" ht="13.2" x14ac:dyDescent="0.25">
      <c r="A11" s="7"/>
      <c r="B11" s="7"/>
      <c r="C11" s="7"/>
      <c r="D11" s="7"/>
      <c r="E11" s="7"/>
      <c r="F11" s="9"/>
      <c r="G11" s="7"/>
      <c r="H11" s="10"/>
    </row>
    <row r="12" spans="1:8" ht="13.2" x14ac:dyDescent="0.25">
      <c r="A12" s="7"/>
      <c r="B12" s="7"/>
      <c r="C12" s="7"/>
      <c r="D12" s="7"/>
      <c r="E12" s="7"/>
      <c r="F12" s="9"/>
      <c r="G12" s="7"/>
      <c r="H12" s="10"/>
    </row>
    <row r="13" spans="1:8" ht="13.2" x14ac:dyDescent="0.25">
      <c r="A13" s="48"/>
      <c r="B13" s="7"/>
      <c r="C13" s="7"/>
      <c r="D13" s="7"/>
      <c r="E13" s="7"/>
      <c r="F13" s="49"/>
      <c r="G13" s="48"/>
      <c r="H13" s="10"/>
    </row>
    <row r="14" spans="1:8" ht="13.2" x14ac:dyDescent="0.25">
      <c r="A14" s="7"/>
      <c r="B14" s="7"/>
      <c r="C14" s="7"/>
      <c r="D14" s="7"/>
      <c r="E14" s="7"/>
      <c r="F14" s="7"/>
      <c r="G14" s="7"/>
      <c r="H14" s="10"/>
    </row>
    <row r="15" spans="1:8" ht="13.2" x14ac:dyDescent="0.25">
      <c r="A15" s="7"/>
      <c r="B15" s="7"/>
      <c r="C15" s="7"/>
      <c r="D15" s="8"/>
      <c r="E15" s="7"/>
      <c r="F15" s="7"/>
      <c r="G15" s="7"/>
      <c r="H15" s="10"/>
    </row>
    <row r="16" spans="1:8" ht="15.75" customHeight="1" x14ac:dyDescent="0.25">
      <c r="A16" s="29"/>
      <c r="B16" s="29"/>
      <c r="C16" s="29"/>
      <c r="D16" s="8"/>
      <c r="E16" s="7"/>
      <c r="F16" s="29"/>
      <c r="G16" s="29"/>
      <c r="H16" s="10"/>
    </row>
    <row r="17" spans="1:8" ht="13.2" x14ac:dyDescent="0.25">
      <c r="A17" s="7"/>
      <c r="B17" s="7"/>
      <c r="C17" s="7"/>
      <c r="D17" s="7"/>
      <c r="E17" s="7"/>
      <c r="F17" s="7"/>
      <c r="G17" s="7"/>
      <c r="H17" s="10"/>
    </row>
    <row r="18" spans="1:8" ht="13.2" x14ac:dyDescent="0.25">
      <c r="A18" s="7"/>
      <c r="B18" s="7"/>
      <c r="C18" s="7"/>
      <c r="D18" s="8"/>
      <c r="E18" s="7"/>
      <c r="F18" s="7"/>
      <c r="G18" s="7"/>
      <c r="H18" s="10"/>
    </row>
    <row r="19" spans="1:8" ht="13.2" x14ac:dyDescent="0.25">
      <c r="A19" s="8"/>
      <c r="B19" s="8"/>
      <c r="C19" s="8"/>
      <c r="D19" s="8"/>
      <c r="E19" s="8"/>
      <c r="F19" s="7"/>
      <c r="G19" s="7"/>
      <c r="H19" s="10"/>
    </row>
    <row r="20" spans="1:8" ht="13.2" x14ac:dyDescent="0.25">
      <c r="A20" s="7"/>
      <c r="B20" s="7"/>
      <c r="C20" s="7"/>
      <c r="D20" s="7"/>
      <c r="E20" s="7"/>
      <c r="F20" s="8"/>
      <c r="G20" s="8"/>
      <c r="H20" s="10"/>
    </row>
    <row r="21" spans="1:8" ht="13.2" x14ac:dyDescent="0.25">
      <c r="A21" s="7"/>
      <c r="B21" s="7"/>
      <c r="C21" s="7"/>
      <c r="D21" s="7"/>
      <c r="E21" s="7"/>
      <c r="F21" s="7"/>
      <c r="G21" s="7"/>
      <c r="H21" s="10"/>
    </row>
    <row r="22" spans="1:8" ht="13.2" x14ac:dyDescent="0.25">
      <c r="A22" s="8"/>
      <c r="B22" s="8"/>
      <c r="C22" s="8"/>
      <c r="D22" s="8"/>
      <c r="E22" s="8"/>
      <c r="F22" s="8"/>
      <c r="G22" s="8"/>
      <c r="H22" s="10"/>
    </row>
    <row r="23" spans="1:8" ht="15.75" customHeight="1" x14ac:dyDescent="0.25">
      <c r="A23" s="10"/>
      <c r="B23" s="10"/>
      <c r="C23" s="10"/>
      <c r="D23" s="10"/>
      <c r="E23" s="10"/>
      <c r="F23" s="10"/>
      <c r="G23" s="10"/>
      <c r="H23" s="10"/>
    </row>
  </sheetData>
  <phoneticPr fontId="1" type="noConversion"/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93A5-C127-48FE-8A80-62AE634EC04E}">
  <sheetPr>
    <outlinePr summaryBelow="0" summaryRight="0"/>
    <pageSetUpPr fitToPage="1"/>
  </sheetPr>
  <dimension ref="A1:H30"/>
  <sheetViews>
    <sheetView workbookViewId="0">
      <selection activeCell="D25" sqref="D25"/>
    </sheetView>
  </sheetViews>
  <sheetFormatPr defaultColWidth="12.77734375" defaultRowHeight="15.75" customHeight="1" x14ac:dyDescent="0.25"/>
  <cols>
    <col min="1" max="1" width="7.21875" customWidth="1"/>
    <col min="2" max="2" width="17" customWidth="1"/>
    <col min="3" max="3" width="7.21875" customWidth="1"/>
    <col min="4" max="4" width="33.33203125" customWidth="1"/>
    <col min="5" max="5" width="23.5546875" customWidth="1"/>
    <col min="6" max="6" width="11.33203125" customWidth="1"/>
    <col min="7" max="7" width="7" customWidth="1"/>
  </cols>
  <sheetData>
    <row r="1" spans="1:7" ht="13.2" x14ac:dyDescent="0.25">
      <c r="A1" s="56" t="s">
        <v>0</v>
      </c>
      <c r="B1" s="57" t="s">
        <v>1</v>
      </c>
      <c r="C1" s="58" t="s">
        <v>2</v>
      </c>
      <c r="D1" s="58" t="s">
        <v>3</v>
      </c>
      <c r="E1" s="58" t="s">
        <v>4</v>
      </c>
      <c r="F1" s="57" t="s">
        <v>5</v>
      </c>
      <c r="G1" s="59" t="s">
        <v>6</v>
      </c>
    </row>
    <row r="2" spans="1:7" ht="13.2" x14ac:dyDescent="0.25">
      <c r="A2" s="21">
        <f ca="1">IFERROR(__xludf.DUMMYFUNCTION("""COMPUTED_VALUE"""),261)</f>
        <v>261</v>
      </c>
      <c r="B2" s="11" t="str">
        <f ca="1">IFERROR(__xludf.DUMMYFUNCTION("""COMPUTED_VALUE"""),"Němeček Václav")</f>
        <v>Němeček Václav</v>
      </c>
      <c r="C2" s="11">
        <f ca="1">IFERROR(__xludf.DUMMYFUNCTION("""COMPUTED_VALUE"""),2013)</f>
        <v>2013</v>
      </c>
      <c r="D2" s="11" t="str">
        <f ca="1">IFERROR(__xludf.DUMMYFUNCTION("""COMPUTED_VALUE"""),"Mladší žáci - ročník 2013-2014 (1000m)")</f>
        <v>Mladší žáci - ročník 2013-2014 (1000m)</v>
      </c>
      <c r="E2" s="11" t="str">
        <f ca="1">IFERROR(__xludf.DUMMYFUNCTION("""COMPUTED_VALUE"""),"TJ Sokol SG Plzeň - Petřín ")</f>
        <v xml:space="preserve">TJ Sokol SG Plzeň - Petřín </v>
      </c>
      <c r="F2" s="13">
        <v>0.17430555555555555</v>
      </c>
      <c r="G2" s="22" t="s">
        <v>15</v>
      </c>
    </row>
    <row r="3" spans="1:7" ht="13.2" x14ac:dyDescent="0.25">
      <c r="A3" s="21">
        <f ca="1">IFERROR(__xludf.DUMMYFUNCTION("""COMPUTED_VALUE"""),296)</f>
        <v>296</v>
      </c>
      <c r="B3" s="11" t="str">
        <f ca="1">IFERROR(__xludf.DUMMYFUNCTION("""COMPUTED_VALUE"""),"Hájek Jáchym")</f>
        <v>Hájek Jáchym</v>
      </c>
      <c r="C3" s="11">
        <f ca="1">IFERROR(__xludf.DUMMYFUNCTION("""COMPUTED_VALUE"""),2014)</f>
        <v>2014</v>
      </c>
      <c r="D3" s="11" t="str">
        <f ca="1">IFERROR(__xludf.DUMMYFUNCTION("""COMPUTED_VALUE"""),"Mladší žáci - ročník 2013-2014 (1000m)")</f>
        <v>Mladší žáci - ročník 2013-2014 (1000m)</v>
      </c>
      <c r="E3" s="11" t="str">
        <f ca="1">IFERROR(__xludf.DUMMYFUNCTION("""COMPUTED_VALUE"""),"TJ Sokol SG Plzeň-Petřín")</f>
        <v>TJ Sokol SG Plzeň-Petřín</v>
      </c>
      <c r="F3" s="13">
        <v>0.17569444444444443</v>
      </c>
      <c r="G3" s="22" t="s">
        <v>16</v>
      </c>
    </row>
    <row r="4" spans="1:7" ht="13.2" x14ac:dyDescent="0.25">
      <c r="A4" s="21">
        <f ca="1">IFERROR(__xludf.DUMMYFUNCTION("""COMPUTED_VALUE"""),258)</f>
        <v>258</v>
      </c>
      <c r="B4" s="11" t="str">
        <f ca="1">IFERROR(__xludf.DUMMYFUNCTION("""COMPUTED_VALUE"""),"Vlas Antonín")</f>
        <v>Vlas Antonín</v>
      </c>
      <c r="C4" s="11">
        <f ca="1">IFERROR(__xludf.DUMMYFUNCTION("""COMPUTED_VALUE"""),2014)</f>
        <v>2014</v>
      </c>
      <c r="D4" s="11" t="str">
        <f ca="1">IFERROR(__xludf.DUMMYFUNCTION("""COMPUTED_VALUE"""),"Mladší žáci - ročník 2013-2014 (1000m)")</f>
        <v>Mladší žáci - ročník 2013-2014 (1000m)</v>
      </c>
      <c r="E4" s="11" t="str">
        <f ca="1">IFERROR(__xludf.DUMMYFUNCTION("""COMPUTED_VALUE"""),"Rapid Plzeň")</f>
        <v>Rapid Plzeň</v>
      </c>
      <c r="F4" s="13">
        <v>0.17986111111111111</v>
      </c>
      <c r="G4" s="22" t="s">
        <v>18</v>
      </c>
    </row>
    <row r="5" spans="1:7" ht="13.2" x14ac:dyDescent="0.25">
      <c r="A5" s="21">
        <f ca="1">IFERROR(__xludf.DUMMYFUNCTION("""COMPUTED_VALUE"""),137)</f>
        <v>137</v>
      </c>
      <c r="B5" s="11" t="str">
        <f ca="1">IFERROR(__xludf.DUMMYFUNCTION("""COMPUTED_VALUE"""),"Josef Vyhnal")</f>
        <v>Josef Vyhnal</v>
      </c>
      <c r="C5" s="11">
        <f ca="1">IFERROR(__xludf.DUMMYFUNCTION("""COMPUTED_VALUE"""),2014)</f>
        <v>2014</v>
      </c>
      <c r="D5" s="11" t="str">
        <f ca="1">IFERROR(__xludf.DUMMYFUNCTION("""COMPUTED_VALUE"""),"Mladší žáci - ročník 2013-2014 (1000m)")</f>
        <v>Mladší žáci - ročník 2013-2014 (1000m)</v>
      </c>
      <c r="E5" s="11" t="str">
        <f ca="1">IFERROR(__xludf.DUMMYFUNCTION("""COMPUTED_VALUE"""),"TJ Sokol SG Plzeň - Petřín ")</f>
        <v xml:space="preserve">TJ Sokol SG Plzeň - Petřín </v>
      </c>
      <c r="F5" s="13">
        <v>0.19305555555555556</v>
      </c>
      <c r="G5" s="22" t="s">
        <v>17</v>
      </c>
    </row>
    <row r="6" spans="1:7" ht="13.2" x14ac:dyDescent="0.25">
      <c r="A6" s="21">
        <f ca="1">IFERROR(__xludf.DUMMYFUNCTION("IFERROR(FILTER('Odpovědi formuláře 1'!B:H, 'Odpovědi formuláře 1'!F:F=""Mladší žáci - ročník 2013-2014 (1000m)""), """")"),217)</f>
        <v>217</v>
      </c>
      <c r="B6" s="11" t="str">
        <f ca="1">IFERROR(__xludf.DUMMYFUNCTION("""COMPUTED_VALUE"""),"Černý Matouš")</f>
        <v>Černý Matouš</v>
      </c>
      <c r="C6" s="11">
        <f ca="1">IFERROR(__xludf.DUMMYFUNCTION("""COMPUTED_VALUE"""),2013)</f>
        <v>2013</v>
      </c>
      <c r="D6" s="11" t="str">
        <f ca="1">IFERROR(__xludf.DUMMYFUNCTION("""COMPUTED_VALUE"""),"Mladší žáci - ročník 2013-2014 (1000m)")</f>
        <v>Mladší žáci - ročník 2013-2014 (1000m)</v>
      </c>
      <c r="E6" s="11" t="str">
        <f ca="1">IFERROR(__xludf.DUMMYFUNCTION("""COMPUTED_VALUE"""),"LK Škoda Plzeň")</f>
        <v>LK Škoda Plzeň</v>
      </c>
      <c r="F6" s="13">
        <v>0.19791666666666666</v>
      </c>
      <c r="G6" s="22" t="s">
        <v>19</v>
      </c>
    </row>
    <row r="7" spans="1:7" ht="13.2" x14ac:dyDescent="0.25">
      <c r="A7" s="21">
        <f ca="1">IFERROR(__xludf.DUMMYFUNCTION("""COMPUTED_VALUE"""),396)</f>
        <v>396</v>
      </c>
      <c r="B7" s="11" t="str">
        <f ca="1">IFERROR(__xludf.DUMMYFUNCTION("""COMPUTED_VALUE"""),"Tomáš Morávek")</f>
        <v>Tomáš Morávek</v>
      </c>
      <c r="C7" s="11">
        <f ca="1">IFERROR(__xludf.DUMMYFUNCTION("""COMPUTED_VALUE"""),2013)</f>
        <v>2013</v>
      </c>
      <c r="D7" s="11" t="str">
        <f ca="1">IFERROR(__xludf.DUMMYFUNCTION("""COMPUTED_VALUE"""),"Mladší žáci - ročník 2013-2014 (1000m)")</f>
        <v>Mladší žáci - ročník 2013-2014 (1000m)</v>
      </c>
      <c r="E7" s="11" t="str">
        <f ca="1">IFERROR(__xludf.DUMMYFUNCTION("""COMPUTED_VALUE"""),"SG Petřín")</f>
        <v>SG Petřín</v>
      </c>
      <c r="F7" s="62">
        <v>0.19791666666666666</v>
      </c>
      <c r="G7" s="22" t="s">
        <v>20</v>
      </c>
    </row>
    <row r="8" spans="1:7" ht="13.2" x14ac:dyDescent="0.25">
      <c r="A8" s="21">
        <f ca="1">IFERROR(__xludf.DUMMYFUNCTION("""COMPUTED_VALUE"""),290)</f>
        <v>290</v>
      </c>
      <c r="B8" s="11" t="str">
        <f ca="1">IFERROR(__xludf.DUMMYFUNCTION("""COMPUTED_VALUE"""),"Vodička Přemek")</f>
        <v>Vodička Přemek</v>
      </c>
      <c r="C8" s="11">
        <f ca="1">IFERROR(__xludf.DUMMYFUNCTION("""COMPUTED_VALUE"""),2013)</f>
        <v>2013</v>
      </c>
      <c r="D8" s="11" t="str">
        <f ca="1">IFERROR(__xludf.DUMMYFUNCTION("""COMPUTED_VALUE"""),"Mladší žáci - ročník 2013-2014 (1000m)")</f>
        <v>Mladší žáci - ročník 2013-2014 (1000m)</v>
      </c>
      <c r="E8" s="11" t="str">
        <f ca="1">IFERROR(__xludf.DUMMYFUNCTION("""COMPUTED_VALUE"""),"PH Litice")</f>
        <v>PH Litice</v>
      </c>
      <c r="F8" s="13">
        <v>0.20069444444444445</v>
      </c>
      <c r="G8" s="22" t="s">
        <v>21</v>
      </c>
    </row>
    <row r="9" spans="1:7" ht="13.2" x14ac:dyDescent="0.25">
      <c r="A9" s="60">
        <f ca="1">IFERROR(__xludf.DUMMYFUNCTION("""COMPUTED_VALUE"""),218)</f>
        <v>218</v>
      </c>
      <c r="B9" s="11" t="str">
        <f ca="1">IFERROR(__xludf.DUMMYFUNCTION("""COMPUTED_VALUE"""),"Zeman Jaroslav")</f>
        <v>Zeman Jaroslav</v>
      </c>
      <c r="C9" s="11">
        <f ca="1">IFERROR(__xludf.DUMMYFUNCTION("""COMPUTED_VALUE"""),2013)</f>
        <v>2013</v>
      </c>
      <c r="D9" s="11" t="str">
        <f ca="1">IFERROR(__xludf.DUMMYFUNCTION("""COMPUTED_VALUE"""),"Mladší žáci - ročník 2013-2014 (1000m)")</f>
        <v>Mladší žáci - ročník 2013-2014 (1000m)</v>
      </c>
      <c r="E9" s="11" t="str">
        <f ca="1">IFERROR(__xludf.DUMMYFUNCTION("""COMPUTED_VALUE"""),"LK Škoda Plzeň")</f>
        <v>LK Škoda Plzeň</v>
      </c>
      <c r="F9" s="55">
        <v>0.2076388888888889</v>
      </c>
      <c r="G9" s="22" t="s">
        <v>22</v>
      </c>
    </row>
    <row r="10" spans="1:7" ht="13.2" x14ac:dyDescent="0.25">
      <c r="A10" s="21">
        <f ca="1">IFERROR(__xludf.DUMMYFUNCTION("""COMPUTED_VALUE"""),246)</f>
        <v>246</v>
      </c>
      <c r="B10" s="11" t="str">
        <f ca="1">IFERROR(__xludf.DUMMYFUNCTION("""COMPUTED_VALUE"""),"Vítek Šedivec ")</f>
        <v xml:space="preserve">Vítek Šedivec </v>
      </c>
      <c r="C10" s="11">
        <f ca="1">IFERROR(__xludf.DUMMYFUNCTION("""COMPUTED_VALUE"""),2014)</f>
        <v>2014</v>
      </c>
      <c r="D10" s="11" t="str">
        <f ca="1">IFERROR(__xludf.DUMMYFUNCTION("""COMPUTED_VALUE"""),"Mladší žáci - ročník 2013-2014 (1000m)")</f>
        <v>Mladší žáci - ročník 2013-2014 (1000m)</v>
      </c>
      <c r="E10" s="11" t="str">
        <f ca="1">IFERROR(__xludf.DUMMYFUNCTION("""COMPUTED_VALUE"""),"TJ Sokol Plzeň - Petřín ")</f>
        <v xml:space="preserve">TJ Sokol Plzeň - Petřín </v>
      </c>
      <c r="F10" s="13">
        <v>0.22291666666666668</v>
      </c>
      <c r="G10" s="22" t="s">
        <v>23</v>
      </c>
    </row>
    <row r="11" spans="1:7" ht="13.2" x14ac:dyDescent="0.25">
      <c r="A11" s="60">
        <f ca="1">IFERROR(__xludf.DUMMYFUNCTION("""COMPUTED_VALUE"""),271)</f>
        <v>271</v>
      </c>
      <c r="B11" s="11" t="str">
        <f ca="1">IFERROR(__xludf.DUMMYFUNCTION("""COMPUTED_VALUE"""),"Neumeyer Vojtěch")</f>
        <v>Neumeyer Vojtěch</v>
      </c>
      <c r="C11" s="11">
        <f ca="1">IFERROR(__xludf.DUMMYFUNCTION("""COMPUTED_VALUE"""),2013)</f>
        <v>2013</v>
      </c>
      <c r="D11" s="11" t="str">
        <f ca="1">IFERROR(__xludf.DUMMYFUNCTION("""COMPUTED_VALUE"""),"Mladší žáci - ročník 2013-2014 (1000m)")</f>
        <v>Mladší žáci - ročník 2013-2014 (1000m)</v>
      </c>
      <c r="E11" s="11" t="str">
        <f ca="1">IFERROR(__xludf.DUMMYFUNCTION("""COMPUTED_VALUE"""),"PH Litice")</f>
        <v>PH Litice</v>
      </c>
      <c r="F11" s="55">
        <v>0.22291666666666668</v>
      </c>
      <c r="G11" s="22" t="s">
        <v>24</v>
      </c>
    </row>
    <row r="12" spans="1:7" ht="13.2" x14ac:dyDescent="0.25">
      <c r="A12" s="60">
        <f ca="1">IFERROR(__xludf.DUMMYFUNCTION("""COMPUTED_VALUE"""),273)</f>
        <v>273</v>
      </c>
      <c r="B12" s="11" t="str">
        <f ca="1">IFERROR(__xludf.DUMMYFUNCTION("""COMPUTED_VALUE"""),"Kokoška Adam")</f>
        <v>Kokoška Adam</v>
      </c>
      <c r="C12" s="11">
        <f ca="1">IFERROR(__xludf.DUMMYFUNCTION("""COMPUTED_VALUE"""),2013)</f>
        <v>2013</v>
      </c>
      <c r="D12" s="11" t="str">
        <f ca="1">IFERROR(__xludf.DUMMYFUNCTION("""COMPUTED_VALUE"""),"Mladší žáci - ročník 2013-2014 (1000m)")</f>
        <v>Mladší žáci - ročník 2013-2014 (1000m)</v>
      </c>
      <c r="E12" s="11" t="str">
        <f ca="1">IFERROR(__xludf.DUMMYFUNCTION("""COMPUTED_VALUE"""),"PH Litice")</f>
        <v>PH Litice</v>
      </c>
      <c r="F12" s="55">
        <v>0.2361111111111111</v>
      </c>
      <c r="G12" s="22" t="s">
        <v>25</v>
      </c>
    </row>
    <row r="13" spans="1:7" ht="15.75" customHeight="1" x14ac:dyDescent="0.25">
      <c r="A13" s="19">
        <f ca="1">IFERROR(__xludf.DUMMYFUNCTION("""COMPUTED_VALUE"""),293)</f>
        <v>293</v>
      </c>
      <c r="B13" s="12" t="str">
        <f ca="1">IFERROR(__xludf.DUMMYFUNCTION("""COMPUTED_VALUE"""),"Činátl Antonín")</f>
        <v>Činátl Antonín</v>
      </c>
      <c r="C13" s="12">
        <f ca="1">IFERROR(__xludf.DUMMYFUNCTION("""COMPUTED_VALUE"""),2013)</f>
        <v>2013</v>
      </c>
      <c r="D13" s="12" t="str">
        <f ca="1">IFERROR(__xludf.DUMMYFUNCTION("""COMPUTED_VALUE"""),"Mladší žáci - ročník 2013-2014 (1000m)")</f>
        <v>Mladší žáci - ročník 2013-2014 (1000m)</v>
      </c>
      <c r="E13" s="12" t="str">
        <f ca="1">IFERROR(__xludf.DUMMYFUNCTION("""COMPUTED_VALUE"""),"PH Litice")</f>
        <v>PH Litice</v>
      </c>
      <c r="F13" s="62">
        <v>0.2361111111111111</v>
      </c>
      <c r="G13" s="22" t="s">
        <v>26</v>
      </c>
    </row>
    <row r="14" spans="1:7" ht="13.2" x14ac:dyDescent="0.25">
      <c r="A14" s="19">
        <f ca="1">IFERROR(__xludf.DUMMYFUNCTION("""COMPUTED_VALUE"""),267)</f>
        <v>267</v>
      </c>
      <c r="B14" s="12" t="str">
        <f ca="1">IFERROR(__xludf.DUMMYFUNCTION("""COMPUTED_VALUE"""),"Červenka Matouš")</f>
        <v>Červenka Matouš</v>
      </c>
      <c r="C14" s="12">
        <f ca="1">IFERROR(__xludf.DUMMYFUNCTION("""COMPUTED_VALUE"""),2014)</f>
        <v>2014</v>
      </c>
      <c r="D14" s="12" t="str">
        <f ca="1">IFERROR(__xludf.DUMMYFUNCTION("""COMPUTED_VALUE"""),"Mladší žáci - ročník 2013-2014 (1000m)")</f>
        <v>Mladší žáci - ročník 2013-2014 (1000m)</v>
      </c>
      <c r="E14" s="12" t="s">
        <v>39</v>
      </c>
      <c r="F14" s="63">
        <v>0.23750000000000002</v>
      </c>
      <c r="G14" s="22" t="s">
        <v>27</v>
      </c>
    </row>
    <row r="15" spans="1:7" ht="13.2" x14ac:dyDescent="0.25">
      <c r="A15" s="21">
        <f ca="1">IFERROR(__xludf.DUMMYFUNCTION("""COMPUTED_VALUE"""),277)</f>
        <v>277</v>
      </c>
      <c r="B15" s="11" t="str">
        <f ca="1">IFERROR(__xludf.DUMMYFUNCTION("""COMPUTED_VALUE"""),"Špánek Sebastian")</f>
        <v>Špánek Sebastian</v>
      </c>
      <c r="C15" s="11">
        <f ca="1">IFERROR(__xludf.DUMMYFUNCTION("""COMPUTED_VALUE"""),2014)</f>
        <v>2014</v>
      </c>
      <c r="D15" s="11" t="str">
        <f ca="1">IFERROR(__xludf.DUMMYFUNCTION("""COMPUTED_VALUE"""),"Mladší žáci - ročník 2013-2014 (1000m)")</f>
        <v>Mladší žáci - ročník 2013-2014 (1000m)</v>
      </c>
      <c r="E15" s="11" t="str">
        <f ca="1">IFERROR(__xludf.DUMMYFUNCTION("""COMPUTED_VALUE"""),"PH Litice")</f>
        <v>PH Litice</v>
      </c>
      <c r="F15" s="13">
        <v>0.23958333333333334</v>
      </c>
      <c r="G15" s="22" t="s">
        <v>28</v>
      </c>
    </row>
    <row r="16" spans="1:7" ht="13.2" x14ac:dyDescent="0.25">
      <c r="A16" s="21">
        <f ca="1">IFERROR(__xludf.DUMMYFUNCTION("""COMPUTED_VALUE"""),270)</f>
        <v>270</v>
      </c>
      <c r="B16" s="11" t="str">
        <f ca="1">IFERROR(__xludf.DUMMYFUNCTION("""COMPUTED_VALUE"""),"Krejčí Max")</f>
        <v>Krejčí Max</v>
      </c>
      <c r="C16" s="11">
        <f ca="1">IFERROR(__xludf.DUMMYFUNCTION("""COMPUTED_VALUE"""),2014)</f>
        <v>2014</v>
      </c>
      <c r="D16" s="11" t="str">
        <f ca="1">IFERROR(__xludf.DUMMYFUNCTION("""COMPUTED_VALUE"""),"Mladší žáci - ročník 2013-2014 (1000m)")</f>
        <v>Mladší žáci - ročník 2013-2014 (1000m)</v>
      </c>
      <c r="E16" s="11" t="str">
        <f ca="1">IFERROR(__xludf.DUMMYFUNCTION("""COMPUTED_VALUE"""),"PH Litice")</f>
        <v>PH Litice</v>
      </c>
      <c r="F16" s="13">
        <v>0.24583333333333332</v>
      </c>
      <c r="G16" s="22" t="s">
        <v>29</v>
      </c>
    </row>
    <row r="17" spans="1:8" ht="13.2" x14ac:dyDescent="0.25">
      <c r="A17" s="21">
        <f ca="1">IFERROR(__xludf.DUMMYFUNCTION("""COMPUTED_VALUE"""),272)</f>
        <v>272</v>
      </c>
      <c r="B17" s="11" t="str">
        <f ca="1">IFERROR(__xludf.DUMMYFUNCTION("""COMPUTED_VALUE"""),"Hynčík Tobiáš")</f>
        <v>Hynčík Tobiáš</v>
      </c>
      <c r="C17" s="11">
        <f ca="1">IFERROR(__xludf.DUMMYFUNCTION("""COMPUTED_VALUE"""),2014)</f>
        <v>2014</v>
      </c>
      <c r="D17" s="11" t="str">
        <f ca="1">IFERROR(__xludf.DUMMYFUNCTION("""COMPUTED_VALUE"""),"Mladší žáci - ročník 2013-2014 (1000m)")</f>
        <v>Mladší žáci - ročník 2013-2014 (1000m)</v>
      </c>
      <c r="E17" s="11" t="str">
        <f ca="1">IFERROR(__xludf.DUMMYFUNCTION("""COMPUTED_VALUE"""),"PH Litice")</f>
        <v>PH Litice</v>
      </c>
      <c r="F17" s="13">
        <v>0.25138888888888888</v>
      </c>
      <c r="G17" s="22" t="s">
        <v>30</v>
      </c>
    </row>
    <row r="18" spans="1:8" ht="13.2" x14ac:dyDescent="0.25">
      <c r="A18" s="21">
        <f ca="1">IFERROR(__xludf.DUMMYFUNCTION("""COMPUTED_VALUE"""),274)</f>
        <v>274</v>
      </c>
      <c r="B18" s="11" t="str">
        <f ca="1">IFERROR(__xludf.DUMMYFUNCTION("""COMPUTED_VALUE"""),"Langer František")</f>
        <v>Langer František</v>
      </c>
      <c r="C18" s="11">
        <f ca="1">IFERROR(__xludf.DUMMYFUNCTION("""COMPUTED_VALUE"""),2014)</f>
        <v>2014</v>
      </c>
      <c r="D18" s="11" t="str">
        <f ca="1">IFERROR(__xludf.DUMMYFUNCTION("""COMPUTED_VALUE"""),"Mladší žáci - ročník 2013-2014 (1000m)")</f>
        <v>Mladší žáci - ročník 2013-2014 (1000m)</v>
      </c>
      <c r="E18" s="11" t="str">
        <f ca="1">IFERROR(__xludf.DUMMYFUNCTION("""COMPUTED_VALUE"""),"PH Litice")</f>
        <v>PH Litice</v>
      </c>
      <c r="F18" s="13">
        <v>0.25208333333333333</v>
      </c>
      <c r="G18" s="22" t="s">
        <v>31</v>
      </c>
    </row>
    <row r="19" spans="1:8" ht="13.2" x14ac:dyDescent="0.25">
      <c r="A19" s="21">
        <f ca="1">IFERROR(__xludf.DUMMYFUNCTION("""COMPUTED_VALUE"""),269)</f>
        <v>269</v>
      </c>
      <c r="B19" s="11" t="str">
        <f ca="1">IFERROR(__xludf.DUMMYFUNCTION("""COMPUTED_VALUE"""),"Ettler Oliver")</f>
        <v>Ettler Oliver</v>
      </c>
      <c r="C19" s="11">
        <f ca="1">IFERROR(__xludf.DUMMYFUNCTION("""COMPUTED_VALUE"""),2014)</f>
        <v>2014</v>
      </c>
      <c r="D19" s="11" t="str">
        <f ca="1">IFERROR(__xludf.DUMMYFUNCTION("""COMPUTED_VALUE"""),"Mladší žáci - ročník 2013-2014 (1000m)")</f>
        <v>Mladší žáci - ročník 2013-2014 (1000m)</v>
      </c>
      <c r="E19" s="11" t="str">
        <f ca="1">IFERROR(__xludf.DUMMYFUNCTION("""COMPUTED_VALUE"""),"PH Litice")</f>
        <v>PH Litice</v>
      </c>
      <c r="F19" s="13">
        <v>0.25347222222222221</v>
      </c>
      <c r="G19" s="22" t="s">
        <v>32</v>
      </c>
    </row>
    <row r="20" spans="1:8" ht="13.2" x14ac:dyDescent="0.25">
      <c r="A20" s="21">
        <f ca="1">IFERROR(__xludf.DUMMYFUNCTION("""COMPUTED_VALUE"""),245)</f>
        <v>245</v>
      </c>
      <c r="B20" s="11" t="str">
        <f ca="1">IFERROR(__xludf.DUMMYFUNCTION("""COMPUTED_VALUE"""),"Dúc Sebastian")</f>
        <v>Dúc Sebastian</v>
      </c>
      <c r="C20" s="11">
        <f ca="1">IFERROR(__xludf.DUMMYFUNCTION("""COMPUTED_VALUE"""),2014)</f>
        <v>2014</v>
      </c>
      <c r="D20" s="11" t="str">
        <f ca="1">IFERROR(__xludf.DUMMYFUNCTION("""COMPUTED_VALUE"""),"Mladší žáci - ročník 2013-2014 (1000m)")</f>
        <v>Mladší žáci - ročník 2013-2014 (1000m)</v>
      </c>
      <c r="E20" s="11" t="str">
        <f ca="1">IFERROR(__xludf.DUMMYFUNCTION("""COMPUTED_VALUE"""),"TJ Sokol SG Plzeň -Petřín")</f>
        <v>TJ Sokol SG Plzeň -Petřín</v>
      </c>
      <c r="F20" s="13">
        <v>0.25416666666666665</v>
      </c>
      <c r="G20" s="22" t="s">
        <v>33</v>
      </c>
    </row>
    <row r="21" spans="1:8" ht="13.2" x14ac:dyDescent="0.25">
      <c r="A21" s="21">
        <f ca="1">IFERROR(__xludf.DUMMYFUNCTION("""COMPUTED_VALUE"""),440)</f>
        <v>440</v>
      </c>
      <c r="B21" s="11" t="str">
        <f ca="1">IFERROR(__xludf.DUMMYFUNCTION("""COMPUTED_VALUE"""),"Michael Kozel")</f>
        <v>Michael Kozel</v>
      </c>
      <c r="C21" s="11">
        <f ca="1">IFERROR(__xludf.DUMMYFUNCTION("""COMPUTED_VALUE"""),2014)</f>
        <v>2014</v>
      </c>
      <c r="D21" s="11" t="str">
        <f ca="1">IFERROR(__xludf.DUMMYFUNCTION("""COMPUTED_VALUE"""),"Mladší žáci - ročník 2013-2014 (1000m)")</f>
        <v>Mladší žáci - ročník 2013-2014 (1000m)</v>
      </c>
      <c r="E21" s="64" t="str">
        <f ca="1">IFERROR(__xludf.DUMMYFUNCTION("""COMPUTED_VALUE"""),"PH Litice")</f>
        <v>PH Litice</v>
      </c>
      <c r="F21" s="62">
        <v>0.26874999999999999</v>
      </c>
      <c r="G21" s="22" t="s">
        <v>34</v>
      </c>
    </row>
    <row r="22" spans="1:8" ht="13.2" x14ac:dyDescent="0.25">
      <c r="A22" s="60">
        <f ca="1">IFERROR(__xludf.DUMMYFUNCTION("""COMPUTED_VALUE"""),275)</f>
        <v>275</v>
      </c>
      <c r="B22" s="11" t="str">
        <f ca="1">IFERROR(__xludf.DUMMYFUNCTION("""COMPUTED_VALUE"""),"Kocour Ondřej")</f>
        <v>Kocour Ondřej</v>
      </c>
      <c r="C22" s="11">
        <f ca="1">IFERROR(__xludf.DUMMYFUNCTION("""COMPUTED_VALUE"""),2013)</f>
        <v>2013</v>
      </c>
      <c r="D22" s="11" t="str">
        <f ca="1">IFERROR(__xludf.DUMMYFUNCTION("""COMPUTED_VALUE"""),"Mladší žáci - ročník 2013-2014 (1000m)")</f>
        <v>Mladší žáci - ročník 2013-2014 (1000m)</v>
      </c>
      <c r="E22" s="11" t="str">
        <f ca="1">IFERROR(__xludf.DUMMYFUNCTION("""COMPUTED_VALUE"""),"PH Litice")</f>
        <v>PH Litice</v>
      </c>
      <c r="F22" s="55">
        <v>0.27291666666666664</v>
      </c>
      <c r="G22" s="22" t="s">
        <v>35</v>
      </c>
    </row>
    <row r="23" spans="1:8" ht="13.8" thickBot="1" x14ac:dyDescent="0.3">
      <c r="A23" s="34">
        <f ca="1">IFERROR(__xludf.DUMMYFUNCTION("""COMPUTED_VALUE"""),292)</f>
        <v>292</v>
      </c>
      <c r="B23" s="35" t="str">
        <f ca="1">IFERROR(__xludf.DUMMYFUNCTION("""COMPUTED_VALUE"""),"Kubr Daniel")</f>
        <v>Kubr Daniel</v>
      </c>
      <c r="C23" s="35">
        <f ca="1">IFERROR(__xludf.DUMMYFUNCTION("""COMPUTED_VALUE"""),2014)</f>
        <v>2014</v>
      </c>
      <c r="D23" s="35" t="str">
        <f ca="1">IFERROR(__xludf.DUMMYFUNCTION("""COMPUTED_VALUE"""),"Mladší žáci - ročník 2013-2014 (1000m)")</f>
        <v>Mladší žáci - ročník 2013-2014 (1000m)</v>
      </c>
      <c r="E23" s="35" t="str">
        <f ca="1">IFERROR(__xludf.DUMMYFUNCTION("""COMPUTED_VALUE"""),"PH Litice")</f>
        <v>PH Litice</v>
      </c>
      <c r="F23" s="65">
        <v>0.27777777777777779</v>
      </c>
      <c r="G23" s="37" t="s">
        <v>36</v>
      </c>
    </row>
    <row r="24" spans="1:8" ht="13.2" x14ac:dyDescent="0.25">
      <c r="A24" s="7"/>
      <c r="B24" s="7"/>
      <c r="C24" s="7"/>
      <c r="D24" s="7"/>
      <c r="E24" s="7"/>
      <c r="F24" s="9"/>
      <c r="G24" s="7"/>
      <c r="H24" s="10"/>
    </row>
    <row r="25" spans="1:8" ht="13.8" x14ac:dyDescent="0.25">
      <c r="A25" s="7"/>
      <c r="B25" s="7"/>
      <c r="C25" s="7"/>
      <c r="D25" s="7"/>
      <c r="E25" s="7"/>
      <c r="F25" s="9"/>
      <c r="G25" s="52"/>
      <c r="H25" s="10"/>
    </row>
    <row r="26" spans="1:8" ht="14.4" x14ac:dyDescent="0.3">
      <c r="A26" s="50"/>
      <c r="B26" s="50"/>
      <c r="C26" s="50"/>
      <c r="D26" s="7"/>
      <c r="E26" s="7"/>
      <c r="F26" s="51"/>
      <c r="G26" s="7"/>
      <c r="H26" s="10"/>
    </row>
    <row r="27" spans="1:8" ht="13.2" x14ac:dyDescent="0.25">
      <c r="A27" s="7"/>
      <c r="B27" s="7"/>
      <c r="C27" s="8"/>
      <c r="D27" s="7"/>
      <c r="E27" s="7"/>
      <c r="F27" s="9"/>
      <c r="G27" s="10"/>
      <c r="H27" s="10"/>
    </row>
    <row r="28" spans="1:8" ht="15.75" customHeight="1" x14ac:dyDescent="0.25">
      <c r="A28" s="10"/>
      <c r="B28" s="10"/>
      <c r="C28" s="10"/>
      <c r="D28" s="10"/>
      <c r="E28" s="10"/>
      <c r="F28" s="10"/>
      <c r="G28" s="10"/>
      <c r="H28" s="10"/>
    </row>
    <row r="29" spans="1:8" ht="15.75" customHeight="1" x14ac:dyDescent="0.25">
      <c r="A29" s="10"/>
      <c r="B29" s="10"/>
      <c r="C29" s="10"/>
      <c r="D29" s="10"/>
      <c r="E29" s="10"/>
      <c r="F29" s="10"/>
      <c r="G29" s="10"/>
      <c r="H29" s="10"/>
    </row>
    <row r="30" spans="1:8" ht="15.75" customHeight="1" x14ac:dyDescent="0.25">
      <c r="A30" s="10"/>
      <c r="B30" s="10"/>
      <c r="C30" s="10"/>
      <c r="D30" s="10"/>
      <c r="E30" s="10"/>
      <c r="F30" s="10"/>
      <c r="G30" s="10"/>
      <c r="H30" s="10"/>
    </row>
  </sheetData>
  <phoneticPr fontId="1" type="noConversion"/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DBB14-AC94-441B-8C82-7824584DC298}">
  <sheetPr>
    <outlinePr summaryBelow="0" summaryRight="0"/>
  </sheetPr>
  <dimension ref="A1:J976"/>
  <sheetViews>
    <sheetView workbookViewId="0">
      <selection activeCell="B26" sqref="B26"/>
    </sheetView>
  </sheetViews>
  <sheetFormatPr defaultColWidth="12.77734375" defaultRowHeight="15.75" customHeight="1" x14ac:dyDescent="0.25"/>
  <cols>
    <col min="1" max="1" width="6.77734375" style="69" customWidth="1"/>
    <col min="2" max="2" width="21.77734375" style="69" customWidth="1"/>
    <col min="3" max="3" width="6.21875" style="69" customWidth="1"/>
    <col min="4" max="4" width="36.77734375" style="69" customWidth="1"/>
    <col min="5" max="5" width="22.77734375" style="69" customWidth="1"/>
    <col min="6" max="6" width="12" style="69" customWidth="1"/>
    <col min="7" max="7" width="7.44140625" style="69" customWidth="1"/>
    <col min="8" max="16384" width="12.77734375" style="69"/>
  </cols>
  <sheetData>
    <row r="1" spans="1:7" ht="13.8" thickBot="1" x14ac:dyDescent="0.3">
      <c r="A1" s="88" t="s">
        <v>0</v>
      </c>
      <c r="B1" s="89" t="s">
        <v>1</v>
      </c>
      <c r="C1" s="89" t="s">
        <v>2</v>
      </c>
      <c r="D1" s="89" t="s">
        <v>3</v>
      </c>
      <c r="E1" s="89" t="s">
        <v>4</v>
      </c>
      <c r="F1" s="90" t="s">
        <v>5</v>
      </c>
      <c r="G1" s="91" t="s">
        <v>6</v>
      </c>
    </row>
    <row r="2" spans="1:7" ht="15.75" customHeight="1" x14ac:dyDescent="0.25">
      <c r="A2" s="92">
        <f ca="1">IFERROR(__xludf.DUMMYFUNCTION("""COMPUTED_VALUE"""),200)</f>
        <v>200</v>
      </c>
      <c r="B2" s="70" t="str">
        <f ca="1">IFERROR(__xludf.DUMMYFUNCTION("""COMPUTED_VALUE"""),"Hajšmanová Johana")</f>
        <v>Hajšmanová Johana</v>
      </c>
      <c r="C2" s="71">
        <f ca="1">IFERROR(__xludf.DUMMYFUNCTION("""COMPUTED_VALUE"""),2014)</f>
        <v>2014</v>
      </c>
      <c r="D2" s="70" t="str">
        <f ca="1">IFERROR(__xludf.DUMMYFUNCTION("""COMPUTED_VALUE"""),"Mladší žákyně - ročník 2013-2014 (1000m)")</f>
        <v>Mladší žákyně - ročník 2013-2014 (1000m)</v>
      </c>
      <c r="E2" s="70"/>
      <c r="F2" s="72">
        <v>0.18402777777777779</v>
      </c>
      <c r="G2" s="93" t="s">
        <v>15</v>
      </c>
    </row>
    <row r="3" spans="1:7" ht="13.2" x14ac:dyDescent="0.25">
      <c r="A3" s="94">
        <f ca="1">IFERROR(__xludf.DUMMYFUNCTION("""COMPUTED_VALUE"""),197)</f>
        <v>197</v>
      </c>
      <c r="B3" s="66" t="str">
        <f ca="1">IFERROR(__xludf.DUMMYFUNCTION("""COMPUTED_VALUE"""),"Wagnerová Dorota")</f>
        <v>Wagnerová Dorota</v>
      </c>
      <c r="C3" s="66">
        <f ca="1">IFERROR(__xludf.DUMMYFUNCTION("""COMPUTED_VALUE"""),2013)</f>
        <v>2013</v>
      </c>
      <c r="D3" s="66" t="str">
        <f ca="1">IFERROR(__xludf.DUMMYFUNCTION("""COMPUTED_VALUE"""),"Mladší žákyně - ročník 2013-2014 (1000m)")</f>
        <v>Mladší žákyně - ročník 2013-2014 (1000m)</v>
      </c>
      <c r="E3" s="66" t="str">
        <f ca="1">IFERROR(__xludf.DUMMYFUNCTION("""COMPUTED_VALUE"""),"Aktiv Sport Horšovský Týn")</f>
        <v>Aktiv Sport Horšovský Týn</v>
      </c>
      <c r="F3" s="78">
        <v>0.18541666666666667</v>
      </c>
      <c r="G3" s="95" t="s">
        <v>16</v>
      </c>
    </row>
    <row r="4" spans="1:7" ht="13.2" x14ac:dyDescent="0.25">
      <c r="A4" s="96">
        <f ca="1">IFERROR(__xludf.DUMMYFUNCTION("""COMPUTED_VALUE"""),406)</f>
        <v>406</v>
      </c>
      <c r="B4" s="66" t="str">
        <f ca="1">IFERROR(__xludf.DUMMYFUNCTION("""COMPUTED_VALUE"""),"Mariana Cepníková ")</f>
        <v xml:space="preserve">Mariana Cepníková </v>
      </c>
      <c r="C4" s="66">
        <f ca="1">IFERROR(__xludf.DUMMYFUNCTION("""COMPUTED_VALUE"""),2013)</f>
        <v>2013</v>
      </c>
      <c r="D4" s="66" t="str">
        <f ca="1">IFERROR(__xludf.DUMMYFUNCTION("""COMPUTED_VALUE"""),"Mladší žákyně - ročník 2013-2014 (1000m)")</f>
        <v>Mladší žákyně - ročník 2013-2014 (1000m)</v>
      </c>
      <c r="E4" s="66" t="str">
        <f ca="1">IFERROR(__xludf.DUMMYFUNCTION("""COMPUTED_VALUE"""),"AK Škoda Plzeň")</f>
        <v>AK Škoda Plzeň</v>
      </c>
      <c r="F4" s="73" t="s">
        <v>9</v>
      </c>
      <c r="G4" s="93" t="s">
        <v>18</v>
      </c>
    </row>
    <row r="5" spans="1:7" ht="13.2" x14ac:dyDescent="0.25">
      <c r="A5" s="96">
        <f ca="1">IFERROR(__xludf.DUMMYFUNCTION("""COMPUTED_VALUE"""),178)</f>
        <v>178</v>
      </c>
      <c r="B5" s="66" t="str">
        <f ca="1">IFERROR(__xludf.DUMMYFUNCTION("""COMPUTED_VALUE"""),"Bernáščková Kateřina")</f>
        <v>Bernáščková Kateřina</v>
      </c>
      <c r="C5" s="66">
        <f ca="1">IFERROR(__xludf.DUMMYFUNCTION("""COMPUTED_VALUE"""),2013)</f>
        <v>2013</v>
      </c>
      <c r="D5" s="66" t="str">
        <f ca="1">IFERROR(__xludf.DUMMYFUNCTION("""COMPUTED_VALUE"""),"Mladší žákyně - ročník 2013-2014 (1000m)")</f>
        <v>Mladší žákyně - ročník 2013-2014 (1000m)</v>
      </c>
      <c r="E5" s="66"/>
      <c r="F5" s="67">
        <v>0.19236111111111112</v>
      </c>
      <c r="G5" s="95" t="s">
        <v>17</v>
      </c>
    </row>
    <row r="6" spans="1:7" ht="13.2" x14ac:dyDescent="0.25">
      <c r="A6" s="96">
        <f ca="1">IFERROR(__xludf.DUMMYFUNCTION("""COMPUTED_VALUE"""),393)</f>
        <v>393</v>
      </c>
      <c r="B6" s="66" t="str">
        <f ca="1">IFERROR(__xludf.DUMMYFUNCTION("""COMPUTED_VALUE"""),"Lucie Panzerová")</f>
        <v>Lucie Panzerová</v>
      </c>
      <c r="C6" s="66">
        <f ca="1">IFERROR(__xludf.DUMMYFUNCTION("""COMPUTED_VALUE"""),2013)</f>
        <v>2013</v>
      </c>
      <c r="D6" s="66" t="str">
        <f ca="1">IFERROR(__xludf.DUMMYFUNCTION("""COMPUTED_VALUE"""),"Mladší žákyně - ročník 2013-2014 (1000m)")</f>
        <v>Mladší žákyně - ročník 2013-2014 (1000m)</v>
      </c>
      <c r="E6" s="66" t="str">
        <f ca="1">IFERROR(__xludf.DUMMYFUNCTION("""COMPUTED_VALUE"""),"AK škoda Plzeň")</f>
        <v>AK škoda Plzeň</v>
      </c>
      <c r="F6" s="67">
        <v>0.19305555555555556</v>
      </c>
      <c r="G6" s="93" t="s">
        <v>19</v>
      </c>
    </row>
    <row r="7" spans="1:7" ht="13.2" x14ac:dyDescent="0.25">
      <c r="A7" s="96">
        <f ca="1">IFERROR(__xludf.DUMMYFUNCTION("""COMPUTED_VALUE"""),410)</f>
        <v>410</v>
      </c>
      <c r="B7" s="66" t="str">
        <f ca="1">IFERROR(__xludf.DUMMYFUNCTION("""COMPUTED_VALUE"""),"Kristýna Píclová")</f>
        <v>Kristýna Píclová</v>
      </c>
      <c r="C7" s="66">
        <f ca="1">IFERROR(__xludf.DUMMYFUNCTION("""COMPUTED_VALUE"""),2014)</f>
        <v>2014</v>
      </c>
      <c r="D7" s="66" t="str">
        <f ca="1">IFERROR(__xludf.DUMMYFUNCTION("""COMPUTED_VALUE"""),"Mladší žákyně - ročník 2013-2014 (1000m)")</f>
        <v>Mladší žákyně - ročník 2013-2014 (1000m)</v>
      </c>
      <c r="E7" s="66" t="str">
        <f ca="1">IFERROR(__xludf.DUMMYFUNCTION("""COMPUTED_VALUE"""),"SG Petřín")</f>
        <v>SG Petřín</v>
      </c>
      <c r="F7" s="74">
        <v>0.19375000000000001</v>
      </c>
      <c r="G7" s="95" t="s">
        <v>20</v>
      </c>
    </row>
    <row r="8" spans="1:7" ht="13.2" x14ac:dyDescent="0.25">
      <c r="A8" s="96">
        <f ca="1">IFERROR(__xludf.DUMMYFUNCTION("""COMPUTED_VALUE"""),294)</f>
        <v>294</v>
      </c>
      <c r="B8" s="66" t="str">
        <f ca="1">IFERROR(__xludf.DUMMYFUNCTION("""COMPUTED_VALUE"""),"Eliška Nolčová")</f>
        <v>Eliška Nolčová</v>
      </c>
      <c r="C8" s="66">
        <f ca="1">IFERROR(__xludf.DUMMYFUNCTION("""COMPUTED_VALUE"""),2014)</f>
        <v>2014</v>
      </c>
      <c r="D8" s="66" t="str">
        <f ca="1">IFERROR(__xludf.DUMMYFUNCTION("""COMPUTED_VALUE"""),"Mladší žákyně - ročník 2013-2014 (1000m)")</f>
        <v>Mladší žákyně - ročník 2013-2014 (1000m)</v>
      </c>
      <c r="E8" s="66" t="str">
        <f ca="1">IFERROR(__xludf.DUMMYFUNCTION("""COMPUTED_VALUE"""),"AC Falcon Rokycany ")</f>
        <v xml:space="preserve">AC Falcon Rokycany </v>
      </c>
      <c r="F8" s="73" t="s">
        <v>10</v>
      </c>
      <c r="G8" s="93" t="s">
        <v>21</v>
      </c>
    </row>
    <row r="9" spans="1:7" ht="13.2" x14ac:dyDescent="0.25">
      <c r="A9" s="96">
        <f ca="1">IFERROR(__xludf.DUMMYFUNCTION("""COMPUTED_VALUE"""),247)</f>
        <v>247</v>
      </c>
      <c r="B9" s="66" t="str">
        <f ca="1">IFERROR(__xludf.DUMMYFUNCTION("""COMPUTED_VALUE"""),"Zuzana Marie Šedivcová ")</f>
        <v xml:space="preserve">Zuzana Marie Šedivcová </v>
      </c>
      <c r="C9" s="66">
        <f ca="1">IFERROR(__xludf.DUMMYFUNCTION("""COMPUTED_VALUE"""),2014)</f>
        <v>2014</v>
      </c>
      <c r="D9" s="66" t="str">
        <f ca="1">IFERROR(__xludf.DUMMYFUNCTION("""COMPUTED_VALUE"""),"Mladší žákyně - ročník 2013-2014 (1000m)")</f>
        <v>Mladší žákyně - ročník 2013-2014 (1000m)</v>
      </c>
      <c r="E9" s="66" t="str">
        <f ca="1">IFERROR(__xludf.DUMMYFUNCTION("""COMPUTED_VALUE"""),"TJ Sokol Plzeň - Petřín ")</f>
        <v xml:space="preserve">TJ Sokol Plzeň - Petřín </v>
      </c>
      <c r="F9" s="67">
        <v>0.2</v>
      </c>
      <c r="G9" s="95" t="s">
        <v>22</v>
      </c>
    </row>
    <row r="10" spans="1:7" ht="13.2" x14ac:dyDescent="0.25">
      <c r="A10" s="94">
        <f ca="1">IFERROR(__xludf.DUMMYFUNCTION("""COMPUTED_VALUE"""),179)</f>
        <v>179</v>
      </c>
      <c r="B10" s="77" t="str">
        <f ca="1">IFERROR(__xludf.DUMMYFUNCTION("""COMPUTED_VALUE"""),"Magdaléna Krabcová")</f>
        <v>Magdaléna Krabcová</v>
      </c>
      <c r="C10" s="77">
        <f ca="1">IFERROR(__xludf.DUMMYFUNCTION("""COMPUTED_VALUE"""),2014)</f>
        <v>2014</v>
      </c>
      <c r="D10" s="66" t="str">
        <f ca="1">IFERROR(__xludf.DUMMYFUNCTION("""COMPUTED_VALUE"""),"Mladší žákyně - ročník 2013-2014 (1000m)")</f>
        <v>Mladší žákyně - ročník 2013-2014 (1000m)</v>
      </c>
      <c r="E10" s="66" t="str">
        <f ca="1">IFERROR(__xludf.DUMMYFUNCTION("""COMPUTED_VALUE"""),"TJ Baník Stříbro")</f>
        <v>TJ Baník Stříbro</v>
      </c>
      <c r="F10" s="78">
        <v>0.20208333333333334</v>
      </c>
      <c r="G10" s="93" t="s">
        <v>23</v>
      </c>
    </row>
    <row r="11" spans="1:7" ht="13.2" x14ac:dyDescent="0.25">
      <c r="A11" s="96">
        <f ca="1">IFERROR(__xludf.DUMMYFUNCTION("""COMPUTED_VALUE"""),299)</f>
        <v>299</v>
      </c>
      <c r="B11" s="66" t="str">
        <f ca="1">IFERROR(__xludf.DUMMYFUNCTION("""COMPUTED_VALUE"""),"Stachová Viktorie")</f>
        <v>Stachová Viktorie</v>
      </c>
      <c r="C11" s="66">
        <f ca="1">IFERROR(__xludf.DUMMYFUNCTION("""COMPUTED_VALUE"""),2013)</f>
        <v>2013</v>
      </c>
      <c r="D11" s="66" t="str">
        <f ca="1">IFERROR(__xludf.DUMMYFUNCTION("""COMPUTED_VALUE"""),"Mladší žákyně - ročník 2013-2014 (1000m)")</f>
        <v>Mladší žákyně - ročník 2013-2014 (1000m)</v>
      </c>
      <c r="E11" s="66" t="str">
        <f ca="1">IFERROR(__xludf.DUMMYFUNCTION("""COMPUTED_VALUE"""),"TJ Baník Stříbro")</f>
        <v>TJ Baník Stříbro</v>
      </c>
      <c r="F11" s="67">
        <v>0.20347222222222222</v>
      </c>
      <c r="G11" s="95" t="s">
        <v>24</v>
      </c>
    </row>
    <row r="12" spans="1:7" ht="13.2" x14ac:dyDescent="0.25">
      <c r="A12" s="96">
        <f ca="1">IFERROR(__xludf.DUMMYFUNCTION("""COMPUTED_VALUE"""),187)</f>
        <v>187</v>
      </c>
      <c r="B12" s="66" t="str">
        <f ca="1">IFERROR(__xludf.DUMMYFUNCTION("""COMPUTED_VALUE"""),"Vokurková Rozálie")</f>
        <v>Vokurková Rozálie</v>
      </c>
      <c r="C12" s="66">
        <f ca="1">IFERROR(__xludf.DUMMYFUNCTION("""COMPUTED_VALUE"""),2013)</f>
        <v>2013</v>
      </c>
      <c r="D12" s="66" t="str">
        <f ca="1">IFERROR(__xludf.DUMMYFUNCTION("""COMPUTED_VALUE"""),"Mladší žákyně - ročník 2013-2014 (1000m)")</f>
        <v>Mladší žákyně - ročník 2013-2014 (1000m)</v>
      </c>
      <c r="E12" s="66" t="str">
        <f ca="1">IFERROR(__xludf.DUMMYFUNCTION("""COMPUTED_VALUE"""),"TJ Sokol SG Plzeň Petřín")</f>
        <v>TJ Sokol SG Plzeň Petřín</v>
      </c>
      <c r="F12" s="67">
        <v>0.20555555555555555</v>
      </c>
      <c r="G12" s="93" t="s">
        <v>25</v>
      </c>
    </row>
    <row r="13" spans="1:7" ht="13.2" x14ac:dyDescent="0.25">
      <c r="A13" s="96">
        <f ca="1">IFERROR(__xludf.DUMMYFUNCTION("""COMPUTED_VALUE"""),286)</f>
        <v>286</v>
      </c>
      <c r="B13" s="66" t="str">
        <f ca="1">IFERROR(__xludf.DUMMYFUNCTION("""COMPUTED_VALUE"""),"Tůmová Madlen")</f>
        <v>Tůmová Madlen</v>
      </c>
      <c r="C13" s="66">
        <f ca="1">IFERROR(__xludf.DUMMYFUNCTION("""COMPUTED_VALUE"""),2013)</f>
        <v>2013</v>
      </c>
      <c r="D13" s="66" t="str">
        <f ca="1">IFERROR(__xludf.DUMMYFUNCTION("""COMPUTED_VALUE"""),"Mladší žákyně - ročník 2013-2014 (1000m)")</f>
        <v>Mladší žákyně - ročník 2013-2014 (1000m)</v>
      </c>
      <c r="E13" s="66" t="str">
        <f ca="1">IFERROR(__xludf.DUMMYFUNCTION("""COMPUTED_VALUE"""),"Atletika Kyšice")</f>
        <v>Atletika Kyšice</v>
      </c>
      <c r="F13" s="73" t="s">
        <v>8</v>
      </c>
      <c r="G13" s="95" t="s">
        <v>26</v>
      </c>
    </row>
    <row r="14" spans="1:7" ht="15.75" customHeight="1" x14ac:dyDescent="0.25">
      <c r="A14" s="96">
        <f ca="1">IFERROR(__xludf.DUMMYFUNCTION("""COMPUTED_VALUE"""),248)</f>
        <v>248</v>
      </c>
      <c r="B14" s="66" t="str">
        <f ca="1">IFERROR(__xludf.DUMMYFUNCTION("""COMPUTED_VALUE"""),"Noháčková Tereza")</f>
        <v>Noháčková Tereza</v>
      </c>
      <c r="C14" s="66">
        <f ca="1">IFERROR(__xludf.DUMMYFUNCTION("""COMPUTED_VALUE"""),2013)</f>
        <v>2013</v>
      </c>
      <c r="D14" s="66" t="str">
        <f ca="1">IFERROR(__xludf.DUMMYFUNCTION("""COMPUTED_VALUE"""),"Mladší žákyně - ročník 2013-2014 (1000m)")</f>
        <v>Mladší žákyně - ročník 2013-2014 (1000m)</v>
      </c>
      <c r="E14" s="66" t="str">
        <f ca="1">IFERROR(__xludf.DUMMYFUNCTION("""COMPUTED_VALUE"""),"TJ Sokol SG Plzeň")</f>
        <v>TJ Sokol SG Plzeň</v>
      </c>
      <c r="F14" s="67">
        <v>0.21666666666666667</v>
      </c>
      <c r="G14" s="93" t="s">
        <v>27</v>
      </c>
    </row>
    <row r="15" spans="1:7" ht="13.2" x14ac:dyDescent="0.25">
      <c r="A15" s="96">
        <f ca="1">IFERROR(__xludf.DUMMYFUNCTION("""COMPUTED_VALUE"""),198)</f>
        <v>198</v>
      </c>
      <c r="B15" s="66" t="str">
        <f ca="1">IFERROR(__xludf.DUMMYFUNCTION("""COMPUTED_VALUE"""),"Šinálová Natálie")</f>
        <v>Šinálová Natálie</v>
      </c>
      <c r="C15" s="66">
        <f ca="1">IFERROR(__xludf.DUMMYFUNCTION("""COMPUTED_VALUE"""),2013)</f>
        <v>2013</v>
      </c>
      <c r="D15" s="66" t="str">
        <f ca="1">IFERROR(__xludf.DUMMYFUNCTION("""COMPUTED_VALUE"""),"Mladší žákyně - ročník 2013-2014 (1000m)")</f>
        <v>Mladší žákyně - ročník 2013-2014 (1000m)</v>
      </c>
      <c r="E15" s="66" t="str">
        <f ca="1">IFERROR(__xludf.DUMMYFUNCTION("""COMPUTED_VALUE"""),"Aktiv Sport Horšovský Týn")</f>
        <v>Aktiv Sport Horšovský Týn</v>
      </c>
      <c r="F15" s="67">
        <v>0.21805555555555556</v>
      </c>
      <c r="G15" s="95" t="s">
        <v>28</v>
      </c>
    </row>
    <row r="16" spans="1:7" ht="13.2" x14ac:dyDescent="0.25">
      <c r="A16" s="96">
        <f ca="1">IFERROR(__xludf.DUMMYFUNCTION("""COMPUTED_VALUE"""),249)</f>
        <v>249</v>
      </c>
      <c r="B16" s="66" t="str">
        <f ca="1">IFERROR(__xludf.DUMMYFUNCTION("""COMPUTED_VALUE"""),"Záluská Barbora")</f>
        <v>Záluská Barbora</v>
      </c>
      <c r="C16" s="66">
        <f ca="1">IFERROR(__xludf.DUMMYFUNCTION("""COMPUTED_VALUE"""),2013)</f>
        <v>2013</v>
      </c>
      <c r="D16" s="66" t="str">
        <f ca="1">IFERROR(__xludf.DUMMYFUNCTION("""COMPUTED_VALUE"""),"Mladší žákyně - ročník 2013-2014 (1000m)")</f>
        <v>Mladší žákyně - ročník 2013-2014 (1000m)</v>
      </c>
      <c r="E16" s="66" t="str">
        <f ca="1">IFERROR(__xludf.DUMMYFUNCTION("""COMPUTED_VALUE"""),"Sokol SG Plzeň - Petřín")</f>
        <v>Sokol SG Plzeň - Petřín</v>
      </c>
      <c r="F16" s="67">
        <v>0.22708333333333333</v>
      </c>
      <c r="G16" s="93" t="s">
        <v>29</v>
      </c>
    </row>
    <row r="17" spans="1:10" ht="13.2" x14ac:dyDescent="0.25">
      <c r="A17" s="96">
        <f ca="1">IFERROR(__xludf.DUMMYFUNCTION("""COMPUTED_VALUE"""),229)</f>
        <v>229</v>
      </c>
      <c r="B17" s="66" t="str">
        <f ca="1">IFERROR(__xludf.DUMMYFUNCTION("""COMPUTED_VALUE"""),"Magdaléna Šilhánková")</f>
        <v>Magdaléna Šilhánková</v>
      </c>
      <c r="C17" s="66">
        <f ca="1">IFERROR(__xludf.DUMMYFUNCTION("""COMPUTED_VALUE"""),2013)</f>
        <v>2013</v>
      </c>
      <c r="D17" s="66" t="str">
        <f ca="1">IFERROR(__xludf.DUMMYFUNCTION("""COMPUTED_VALUE"""),"Mladší žákyně - ročník 2013-2014 (1000m)")</f>
        <v>Mladší žákyně - ročník 2013-2014 (1000m)</v>
      </c>
      <c r="E17" s="66" t="str">
        <f ca="1">IFERROR(__xludf.DUMMYFUNCTION("""COMPUTED_VALUE"""),"Aktiv Sport Horšovský Týn")</f>
        <v>Aktiv Sport Horšovský Týn</v>
      </c>
      <c r="F17" s="67">
        <v>0.23055555555555557</v>
      </c>
      <c r="G17" s="95" t="s">
        <v>30</v>
      </c>
    </row>
    <row r="18" spans="1:10" ht="15.75" customHeight="1" x14ac:dyDescent="0.25">
      <c r="A18" s="96">
        <f ca="1">IFERROR(__xludf.DUMMYFUNCTION("""COMPUTED_VALUE"""),420)</f>
        <v>420</v>
      </c>
      <c r="B18" s="66" t="str">
        <f ca="1">IFERROR(__xludf.DUMMYFUNCTION("""COMPUTED_VALUE"""),"Havriutina Arina")</f>
        <v>Havriutina Arina</v>
      </c>
      <c r="C18" s="66">
        <f ca="1">IFERROR(__xludf.DUMMYFUNCTION("""COMPUTED_VALUE"""),2014)</f>
        <v>2014</v>
      </c>
      <c r="D18" s="66" t="str">
        <f ca="1">IFERROR(__xludf.DUMMYFUNCTION("""COMPUTED_VALUE"""),"Mladší žákyně - ročník 2013-2014 (1000m)")</f>
        <v>Mladší žákyně - ročník 2013-2014 (1000m)</v>
      </c>
      <c r="E18" s="66" t="str">
        <f ca="1">IFERROR(__xludf.DUMMYFUNCTION("""COMPUTED_VALUE"""),"PH Litice")</f>
        <v>PH Litice</v>
      </c>
      <c r="F18" s="73" t="s">
        <v>12</v>
      </c>
      <c r="G18" s="93" t="s">
        <v>31</v>
      </c>
    </row>
    <row r="19" spans="1:10" ht="13.2" x14ac:dyDescent="0.25">
      <c r="A19" s="96">
        <f ca="1">IFERROR(__xludf.DUMMYFUNCTION("""COMPUTED_VALUE"""),431)</f>
        <v>431</v>
      </c>
      <c r="B19" s="66" t="str">
        <f ca="1">IFERROR(__xludf.DUMMYFUNCTION("""COMPUTED_VALUE"""),"Černá Elen")</f>
        <v>Černá Elen</v>
      </c>
      <c r="C19" s="66">
        <f ca="1">IFERROR(__xludf.DUMMYFUNCTION("""COMPUTED_VALUE"""),2013)</f>
        <v>2013</v>
      </c>
      <c r="D19" s="66" t="str">
        <f ca="1">IFERROR(__xludf.DUMMYFUNCTION("""COMPUTED_VALUE"""),"Mladší žákyně - ročník 2013-2014 (1000m)")</f>
        <v>Mladší žákyně - ročník 2013-2014 (1000m)</v>
      </c>
      <c r="E19" s="66" t="str">
        <f ca="1">IFERROR(__xludf.DUMMYFUNCTION("""COMPUTED_VALUE"""),"PH Litice")</f>
        <v>PH Litice</v>
      </c>
      <c r="F19" s="67">
        <v>0.25138888888888888</v>
      </c>
      <c r="G19" s="95" t="s">
        <v>32</v>
      </c>
    </row>
    <row r="20" spans="1:10" ht="13.2" x14ac:dyDescent="0.25">
      <c r="A20" s="96">
        <f ca="1">IFERROR(__xludf.DUMMYFUNCTION("""COMPUTED_VALUE"""),432)</f>
        <v>432</v>
      </c>
      <c r="B20" s="66" t="str">
        <f ca="1">IFERROR(__xludf.DUMMYFUNCTION("""COMPUTED_VALUE"""),"Luisa Smetáková")</f>
        <v>Luisa Smetáková</v>
      </c>
      <c r="C20" s="66">
        <f ca="1">IFERROR(__xludf.DUMMYFUNCTION("""COMPUTED_VALUE"""),2013)</f>
        <v>2013</v>
      </c>
      <c r="D20" s="75" t="str">
        <f ca="1">IFERROR(__xludf.DUMMYFUNCTION("""COMPUTED_VALUE"""),"Mladší žákyně - ročník 2013-2014 (1000m)")</f>
        <v>Mladší žákyně - ročník 2013-2014 (1000m)</v>
      </c>
      <c r="E20" s="66" t="s">
        <v>39</v>
      </c>
      <c r="F20" s="74">
        <v>0.25138888888888888</v>
      </c>
      <c r="G20" s="93" t="s">
        <v>33</v>
      </c>
    </row>
    <row r="21" spans="1:10" ht="13.2" x14ac:dyDescent="0.25">
      <c r="A21" s="96">
        <f ca="1">IFERROR(__xludf.DUMMYFUNCTION("""COMPUTED_VALUE"""),222)</f>
        <v>222</v>
      </c>
      <c r="B21" s="66" t="str">
        <f ca="1">IFERROR(__xludf.DUMMYFUNCTION("""COMPUTED_VALUE"""),"Čechová Adéla")</f>
        <v>Čechová Adéla</v>
      </c>
      <c r="C21" s="66">
        <f ca="1">IFERROR(__xludf.DUMMYFUNCTION("""COMPUTED_VALUE"""),2014)</f>
        <v>2014</v>
      </c>
      <c r="D21" s="66" t="str">
        <f ca="1">IFERROR(__xludf.DUMMYFUNCTION("""COMPUTED_VALUE"""),"Mladší žákyně - ročník 2013-2014 (1000m)")</f>
        <v>Mladší žákyně - ročník 2013-2014 (1000m)</v>
      </c>
      <c r="E21" s="66" t="str">
        <f ca="1">IFERROR(__xludf.DUMMYFUNCTION("""COMPUTED_VALUE"""),"PH litice")</f>
        <v>PH litice</v>
      </c>
      <c r="F21" s="73" t="s">
        <v>11</v>
      </c>
      <c r="G21" s="95" t="s">
        <v>34</v>
      </c>
    </row>
    <row r="22" spans="1:10" ht="15.75" customHeight="1" x14ac:dyDescent="0.25">
      <c r="A22" s="96">
        <f ca="1">IFERROR(__xludf.DUMMYFUNCTION("""COMPUTED_VALUE"""),224)</f>
        <v>224</v>
      </c>
      <c r="B22" s="66" t="str">
        <f ca="1">IFERROR(__xludf.DUMMYFUNCTION("""COMPUTED_VALUE"""),"Soukupová Rozálie")</f>
        <v>Soukupová Rozálie</v>
      </c>
      <c r="C22" s="66">
        <f ca="1">IFERROR(__xludf.DUMMYFUNCTION("""COMPUTED_VALUE"""),2014)</f>
        <v>2014</v>
      </c>
      <c r="D22" s="66" t="str">
        <f ca="1">IFERROR(__xludf.DUMMYFUNCTION("""COMPUTED_VALUE"""),"Mladší žákyně - ročník 2013-2014 (1000m)")</f>
        <v>Mladší žákyně - ročník 2013-2014 (1000m)</v>
      </c>
      <c r="E22" s="66" t="str">
        <f ca="1">IFERROR(__xludf.DUMMYFUNCTION("""COMPUTED_VALUE"""),"PH Litice")</f>
        <v>PH Litice</v>
      </c>
      <c r="F22" s="74">
        <v>0.27430555555555558</v>
      </c>
      <c r="G22" s="93" t="s">
        <v>35</v>
      </c>
    </row>
    <row r="23" spans="1:10" ht="15.75" customHeight="1" x14ac:dyDescent="0.25">
      <c r="A23" s="94">
        <f ca="1">IFERROR(__xludf.DUMMYFUNCTION("""COMPUTED_VALUE"""),223)</f>
        <v>223</v>
      </c>
      <c r="B23" s="66" t="s">
        <v>40</v>
      </c>
      <c r="C23" s="66">
        <f ca="1">IFERROR(__xludf.DUMMYFUNCTION("""COMPUTED_VALUE"""),2013)</f>
        <v>2013</v>
      </c>
      <c r="D23" s="66" t="str">
        <f ca="1">IFERROR(__xludf.DUMMYFUNCTION("""COMPUTED_VALUE"""),"Mladší žákyně - ročník 2013-2014 (1000m)")</f>
        <v>Mladší žákyně - ročník 2013-2014 (1000m)</v>
      </c>
      <c r="E23" s="66" t="str">
        <f ca="1">IFERROR(__xludf.DUMMYFUNCTION("""COMPUTED_VALUE"""),"PH Litice")</f>
        <v>PH Litice</v>
      </c>
      <c r="F23" s="78">
        <v>0.27777777777777779</v>
      </c>
      <c r="G23" s="95" t="s">
        <v>36</v>
      </c>
    </row>
    <row r="24" spans="1:10" ht="13.8" thickBot="1" x14ac:dyDescent="0.3">
      <c r="A24" s="97">
        <f ca="1">IFERROR(__xludf.DUMMYFUNCTION("""COMPUTED_VALUE"""),285)</f>
        <v>285</v>
      </c>
      <c r="B24" s="98" t="str">
        <f ca="1">IFERROR(__xludf.DUMMYFUNCTION("""COMPUTED_VALUE"""),"Dolejšová Magdaléna")</f>
        <v>Dolejšová Magdaléna</v>
      </c>
      <c r="C24" s="98">
        <f ca="1">IFERROR(__xludf.DUMMYFUNCTION("""COMPUTED_VALUE"""),2014)</f>
        <v>2014</v>
      </c>
      <c r="D24" s="98" t="str">
        <f ca="1">IFERROR(__xludf.DUMMYFUNCTION("""COMPUTED_VALUE"""),"Mladší žákyně - ročník 2013-2014 (1000m)")</f>
        <v>Mladší žákyně - ročník 2013-2014 (1000m)</v>
      </c>
      <c r="E24" s="98" t="str">
        <f ca="1">IFERROR(__xludf.DUMMYFUNCTION("""COMPUTED_VALUE"""),"Atletika Kyšice")</f>
        <v>Atletika Kyšice</v>
      </c>
      <c r="F24" s="99">
        <v>0.31874999999999998</v>
      </c>
      <c r="G24" s="100" t="s">
        <v>37</v>
      </c>
    </row>
    <row r="25" spans="1:10" ht="13.2" x14ac:dyDescent="0.25">
      <c r="A25" s="79"/>
      <c r="B25" s="80"/>
      <c r="C25" s="80"/>
      <c r="D25" s="80"/>
      <c r="E25" s="80"/>
      <c r="F25" s="81"/>
      <c r="G25" s="79"/>
      <c r="H25" s="79"/>
      <c r="I25" s="79"/>
      <c r="J25" s="79"/>
    </row>
    <row r="26" spans="1:10" ht="13.2" x14ac:dyDescent="0.25">
      <c r="A26" s="80"/>
      <c r="B26" s="80"/>
      <c r="C26" s="80"/>
      <c r="D26" s="80"/>
      <c r="E26" s="80"/>
      <c r="F26" s="82"/>
      <c r="G26" s="80"/>
      <c r="H26" s="79"/>
      <c r="I26" s="79"/>
      <c r="J26" s="79"/>
    </row>
    <row r="27" spans="1:10" ht="13.2" x14ac:dyDescent="0.25">
      <c r="A27" s="80"/>
      <c r="B27" s="80"/>
      <c r="C27" s="80"/>
      <c r="D27" s="80"/>
      <c r="E27" s="80"/>
      <c r="F27" s="82"/>
      <c r="G27" s="80"/>
      <c r="H27" s="79"/>
      <c r="I27" s="79"/>
      <c r="J27" s="79"/>
    </row>
    <row r="28" spans="1:10" ht="13.2" x14ac:dyDescent="0.25">
      <c r="A28" s="80"/>
      <c r="B28" s="80"/>
      <c r="C28" s="80"/>
      <c r="D28" s="80"/>
      <c r="E28" s="80"/>
      <c r="F28" s="82"/>
      <c r="G28" s="80"/>
      <c r="H28" s="79"/>
      <c r="I28" s="79"/>
      <c r="J28" s="79"/>
    </row>
    <row r="29" spans="1:10" ht="13.2" x14ac:dyDescent="0.25">
      <c r="A29" s="80"/>
      <c r="B29" s="80"/>
      <c r="C29" s="80"/>
      <c r="D29" s="80"/>
      <c r="E29" s="80"/>
      <c r="F29" s="82"/>
      <c r="G29" s="80"/>
      <c r="H29" s="79"/>
      <c r="I29" s="79"/>
      <c r="J29" s="79"/>
    </row>
    <row r="30" spans="1:10" ht="13.2" x14ac:dyDescent="0.25">
      <c r="A30" s="79"/>
      <c r="B30" s="80"/>
      <c r="C30" s="80"/>
      <c r="D30" s="80"/>
      <c r="E30" s="80"/>
      <c r="F30" s="81"/>
      <c r="G30" s="79"/>
      <c r="H30" s="79"/>
      <c r="I30" s="79"/>
      <c r="J30" s="79"/>
    </row>
    <row r="31" spans="1:10" ht="13.2" x14ac:dyDescent="0.25">
      <c r="A31" s="80"/>
      <c r="B31" s="80"/>
      <c r="C31" s="80"/>
      <c r="D31" s="80"/>
      <c r="E31" s="80"/>
      <c r="F31" s="83"/>
      <c r="G31" s="79"/>
      <c r="H31" s="79"/>
      <c r="I31" s="79"/>
      <c r="J31" s="79"/>
    </row>
    <row r="32" spans="1:10" ht="15.75" customHeight="1" x14ac:dyDescent="0.25">
      <c r="A32" s="79"/>
      <c r="B32" s="79"/>
      <c r="C32" s="79"/>
      <c r="D32" s="80"/>
      <c r="E32" s="80"/>
      <c r="F32" s="84"/>
      <c r="G32" s="79"/>
      <c r="H32" s="79"/>
      <c r="I32" s="79"/>
      <c r="J32" s="79"/>
    </row>
    <row r="33" spans="1:10" ht="13.2" x14ac:dyDescent="0.25">
      <c r="A33" s="80"/>
      <c r="B33" s="80"/>
      <c r="C33" s="80"/>
      <c r="D33" s="80"/>
      <c r="E33" s="80"/>
      <c r="F33" s="85"/>
      <c r="G33" s="79"/>
      <c r="H33" s="79"/>
      <c r="I33" s="79"/>
      <c r="J33" s="79"/>
    </row>
    <row r="34" spans="1:10" ht="13.2" x14ac:dyDescent="0.25">
      <c r="A34" s="80"/>
      <c r="B34" s="80"/>
      <c r="C34" s="80"/>
      <c r="D34" s="80"/>
      <c r="E34" s="80"/>
      <c r="F34" s="85"/>
      <c r="G34" s="79"/>
      <c r="H34" s="79"/>
      <c r="I34" s="79"/>
      <c r="J34" s="79"/>
    </row>
    <row r="35" spans="1:10" ht="13.2" x14ac:dyDescent="0.25">
      <c r="A35" s="80"/>
      <c r="B35" s="80"/>
      <c r="C35" s="80"/>
      <c r="D35" s="80"/>
      <c r="E35" s="80"/>
      <c r="F35" s="83"/>
      <c r="G35" s="79"/>
      <c r="H35" s="79"/>
      <c r="I35" s="79"/>
      <c r="J35" s="79"/>
    </row>
    <row r="36" spans="1:10" ht="13.2" x14ac:dyDescent="0.25">
      <c r="A36" s="80"/>
      <c r="B36" s="80"/>
      <c r="C36" s="80"/>
      <c r="D36" s="80"/>
      <c r="E36" s="80"/>
      <c r="F36" s="83"/>
      <c r="G36" s="79"/>
      <c r="H36" s="79"/>
      <c r="I36" s="79"/>
      <c r="J36" s="79"/>
    </row>
    <row r="37" spans="1:10" ht="13.2" x14ac:dyDescent="0.25">
      <c r="A37" s="80"/>
      <c r="B37" s="80"/>
      <c r="C37" s="80"/>
      <c r="D37" s="80"/>
      <c r="E37" s="80"/>
      <c r="F37" s="83"/>
      <c r="G37" s="79"/>
      <c r="H37" s="79"/>
      <c r="I37" s="79"/>
      <c r="J37" s="79"/>
    </row>
    <row r="38" spans="1:10" ht="13.2" x14ac:dyDescent="0.25">
      <c r="A38" s="80"/>
      <c r="B38" s="80"/>
      <c r="C38" s="80"/>
      <c r="D38" s="80"/>
      <c r="E38" s="80"/>
      <c r="F38" s="83"/>
      <c r="G38" s="79"/>
      <c r="H38" s="79"/>
      <c r="I38" s="79"/>
      <c r="J38" s="79"/>
    </row>
    <row r="39" spans="1:10" ht="13.2" x14ac:dyDescent="0.25">
      <c r="A39" s="80"/>
      <c r="B39" s="80"/>
      <c r="C39" s="80"/>
      <c r="D39" s="80"/>
      <c r="E39" s="80"/>
      <c r="F39" s="85"/>
      <c r="G39" s="79"/>
      <c r="H39" s="79"/>
      <c r="I39" s="79"/>
      <c r="J39" s="79"/>
    </row>
    <row r="40" spans="1:10" ht="13.2" x14ac:dyDescent="0.25">
      <c r="A40" s="80"/>
      <c r="B40" s="80"/>
      <c r="C40" s="80"/>
      <c r="D40" s="80"/>
      <c r="E40" s="80"/>
      <c r="F40" s="83"/>
      <c r="G40" s="79"/>
      <c r="H40" s="79"/>
      <c r="I40" s="79"/>
      <c r="J40" s="79"/>
    </row>
    <row r="41" spans="1:10" ht="13.2" x14ac:dyDescent="0.25">
      <c r="A41" s="80"/>
      <c r="B41" s="80"/>
      <c r="C41" s="80"/>
      <c r="D41" s="80"/>
      <c r="E41" s="80"/>
      <c r="F41" s="83"/>
      <c r="G41" s="79"/>
      <c r="H41" s="79"/>
      <c r="I41" s="79"/>
      <c r="J41" s="79"/>
    </row>
    <row r="42" spans="1:10" ht="13.2" x14ac:dyDescent="0.25">
      <c r="A42" s="80"/>
      <c r="B42" s="80"/>
      <c r="C42" s="80"/>
      <c r="D42" s="80"/>
      <c r="E42" s="80"/>
      <c r="F42" s="83"/>
      <c r="G42" s="79"/>
      <c r="H42" s="79"/>
      <c r="I42" s="79"/>
      <c r="J42" s="79"/>
    </row>
    <row r="43" spans="1:10" ht="15.75" customHeight="1" x14ac:dyDescent="0.25">
      <c r="A43" s="79"/>
      <c r="B43" s="79"/>
      <c r="C43" s="79"/>
      <c r="D43" s="80"/>
      <c r="E43" s="80"/>
      <c r="F43" s="84"/>
      <c r="G43" s="79"/>
      <c r="H43" s="79"/>
      <c r="I43" s="79"/>
      <c r="J43" s="79"/>
    </row>
    <row r="44" spans="1:10" ht="13.2" x14ac:dyDescent="0.25">
      <c r="A44" s="80"/>
      <c r="B44" s="80"/>
      <c r="C44" s="80"/>
      <c r="D44" s="80"/>
      <c r="E44" s="80"/>
      <c r="F44" s="85"/>
      <c r="G44" s="79"/>
      <c r="H44" s="79"/>
      <c r="I44" s="79"/>
      <c r="J44" s="79"/>
    </row>
    <row r="45" spans="1:10" ht="13.2" x14ac:dyDescent="0.25">
      <c r="A45" s="80"/>
      <c r="B45" s="80"/>
      <c r="C45" s="80"/>
      <c r="D45" s="80"/>
      <c r="E45" s="80"/>
      <c r="F45" s="83"/>
      <c r="G45" s="79"/>
      <c r="H45" s="79"/>
      <c r="I45" s="79"/>
      <c r="J45" s="79"/>
    </row>
    <row r="46" spans="1:10" ht="13.2" x14ac:dyDescent="0.25">
      <c r="A46" s="80"/>
      <c r="B46" s="80"/>
      <c r="C46" s="80"/>
      <c r="D46" s="80"/>
      <c r="E46" s="80"/>
      <c r="F46" s="83"/>
      <c r="G46" s="79"/>
      <c r="H46" s="79"/>
      <c r="I46" s="79"/>
      <c r="J46" s="79"/>
    </row>
    <row r="47" spans="1:10" ht="15.75" customHeight="1" x14ac:dyDescent="0.25">
      <c r="A47" s="79"/>
      <c r="B47" s="79"/>
      <c r="C47" s="79"/>
      <c r="D47" s="80"/>
      <c r="E47" s="80"/>
      <c r="F47" s="84"/>
      <c r="G47" s="79"/>
      <c r="H47" s="79"/>
      <c r="I47" s="79"/>
      <c r="J47" s="79"/>
    </row>
    <row r="48" spans="1:10" ht="15.75" customHeight="1" x14ac:dyDescent="0.25">
      <c r="A48" s="79"/>
      <c r="B48" s="79"/>
      <c r="C48" s="79"/>
      <c r="D48" s="80"/>
      <c r="E48" s="80"/>
      <c r="F48" s="84"/>
      <c r="G48" s="79"/>
      <c r="H48" s="79"/>
      <c r="I48" s="79"/>
      <c r="J48" s="79"/>
    </row>
    <row r="49" spans="1:10" ht="13.2" x14ac:dyDescent="0.25">
      <c r="A49" s="80"/>
      <c r="B49" s="80"/>
      <c r="C49" s="80"/>
      <c r="D49" s="80"/>
      <c r="E49" s="86"/>
      <c r="F49" s="83"/>
      <c r="G49" s="79"/>
      <c r="H49" s="79"/>
      <c r="I49" s="79"/>
      <c r="J49" s="79"/>
    </row>
    <row r="50" spans="1:10" ht="13.2" x14ac:dyDescent="0.25">
      <c r="A50" s="80"/>
      <c r="B50" s="80"/>
      <c r="C50" s="80"/>
      <c r="D50" s="80"/>
      <c r="E50" s="86"/>
      <c r="F50" s="85"/>
      <c r="G50" s="79"/>
      <c r="H50" s="79"/>
      <c r="I50" s="79"/>
      <c r="J50" s="79"/>
    </row>
    <row r="51" spans="1:10" ht="13.2" x14ac:dyDescent="0.25">
      <c r="A51" s="87"/>
      <c r="B51" s="80"/>
      <c r="C51" s="80"/>
      <c r="D51" s="87"/>
      <c r="E51" s="80"/>
      <c r="F51" s="83"/>
      <c r="G51" s="79"/>
      <c r="H51" s="79"/>
      <c r="I51" s="79"/>
      <c r="J51" s="79"/>
    </row>
    <row r="52" spans="1:10" ht="13.2" x14ac:dyDescent="0.25">
      <c r="A52" s="80"/>
      <c r="B52" s="80"/>
      <c r="C52" s="80"/>
      <c r="D52" s="80"/>
      <c r="E52" s="80"/>
      <c r="F52" s="83"/>
      <c r="G52" s="79"/>
      <c r="H52" s="79"/>
      <c r="I52" s="79"/>
      <c r="J52" s="79"/>
    </row>
    <row r="53" spans="1:10" ht="13.2" x14ac:dyDescent="0.25">
      <c r="A53" s="79"/>
      <c r="B53" s="79"/>
      <c r="C53" s="79"/>
      <c r="D53" s="79"/>
      <c r="E53" s="79"/>
      <c r="F53" s="85"/>
      <c r="G53" s="79"/>
      <c r="H53" s="79"/>
      <c r="I53" s="79"/>
      <c r="J53" s="79"/>
    </row>
    <row r="54" spans="1:10" ht="13.2" x14ac:dyDescent="0.25">
      <c r="A54" s="79"/>
      <c r="B54" s="79"/>
      <c r="C54" s="79"/>
      <c r="D54" s="79"/>
      <c r="E54" s="79"/>
      <c r="F54" s="85"/>
      <c r="G54" s="79"/>
      <c r="H54" s="79"/>
      <c r="I54" s="79"/>
      <c r="J54" s="79"/>
    </row>
    <row r="55" spans="1:10" ht="13.2" x14ac:dyDescent="0.25">
      <c r="A55" s="79"/>
      <c r="B55" s="79"/>
      <c r="C55" s="79"/>
      <c r="D55" s="79"/>
      <c r="E55" s="79"/>
      <c r="F55" s="83"/>
      <c r="G55" s="79"/>
      <c r="H55" s="79"/>
      <c r="I55" s="79"/>
      <c r="J55" s="79"/>
    </row>
    <row r="56" spans="1:10" ht="13.2" x14ac:dyDescent="0.25">
      <c r="A56" s="79"/>
      <c r="B56" s="79"/>
      <c r="C56" s="79"/>
      <c r="D56" s="79"/>
      <c r="E56" s="79"/>
      <c r="F56" s="83"/>
      <c r="G56" s="79"/>
      <c r="H56" s="79"/>
      <c r="I56" s="79"/>
      <c r="J56" s="79"/>
    </row>
    <row r="57" spans="1:10" ht="13.2" x14ac:dyDescent="0.25">
      <c r="A57" s="79"/>
      <c r="B57" s="79"/>
      <c r="C57" s="79"/>
      <c r="D57" s="79"/>
      <c r="E57" s="79"/>
      <c r="F57" s="83"/>
      <c r="G57" s="79"/>
      <c r="H57" s="79"/>
      <c r="I57" s="79"/>
      <c r="J57" s="79"/>
    </row>
    <row r="58" spans="1:10" ht="13.2" x14ac:dyDescent="0.25">
      <c r="A58" s="79"/>
      <c r="B58" s="79"/>
      <c r="C58" s="79"/>
      <c r="D58" s="79"/>
      <c r="E58" s="79"/>
      <c r="F58" s="83"/>
      <c r="G58" s="79"/>
      <c r="H58" s="79"/>
      <c r="I58" s="79"/>
      <c r="J58" s="79"/>
    </row>
    <row r="59" spans="1:10" ht="13.2" x14ac:dyDescent="0.25">
      <c r="A59" s="79"/>
      <c r="B59" s="79"/>
      <c r="C59" s="79"/>
      <c r="D59" s="79"/>
      <c r="E59" s="79"/>
      <c r="F59" s="83"/>
      <c r="G59" s="79"/>
      <c r="H59" s="79"/>
      <c r="I59" s="79"/>
      <c r="J59" s="79"/>
    </row>
    <row r="60" spans="1:10" ht="13.2" x14ac:dyDescent="0.25">
      <c r="A60" s="79"/>
      <c r="B60" s="79"/>
      <c r="C60" s="79"/>
      <c r="D60" s="79"/>
      <c r="E60" s="79"/>
      <c r="F60" s="83"/>
      <c r="G60" s="79"/>
      <c r="H60" s="79"/>
      <c r="I60" s="79"/>
      <c r="J60" s="79"/>
    </row>
    <row r="61" spans="1:10" ht="13.2" x14ac:dyDescent="0.25">
      <c r="A61" s="79"/>
      <c r="B61" s="79"/>
      <c r="C61" s="79"/>
      <c r="D61" s="79"/>
      <c r="E61" s="79"/>
      <c r="F61" s="83"/>
      <c r="G61" s="79"/>
      <c r="H61" s="79"/>
      <c r="I61" s="79"/>
      <c r="J61" s="79"/>
    </row>
    <row r="62" spans="1:10" ht="13.2" x14ac:dyDescent="0.25">
      <c r="A62" s="79"/>
      <c r="B62" s="79"/>
      <c r="C62" s="79"/>
      <c r="D62" s="79"/>
      <c r="E62" s="79"/>
      <c r="F62" s="83"/>
      <c r="G62" s="79"/>
      <c r="H62" s="79"/>
      <c r="I62" s="79"/>
      <c r="J62" s="79"/>
    </row>
    <row r="63" spans="1:10" ht="13.2" x14ac:dyDescent="0.25">
      <c r="A63" s="79"/>
      <c r="B63" s="79"/>
      <c r="C63" s="79"/>
      <c r="D63" s="79"/>
      <c r="E63" s="79"/>
      <c r="F63" s="83"/>
      <c r="G63" s="79"/>
      <c r="H63" s="79"/>
      <c r="I63" s="79"/>
      <c r="J63" s="79"/>
    </row>
    <row r="64" spans="1:10" ht="13.2" x14ac:dyDescent="0.25">
      <c r="A64" s="79"/>
      <c r="B64" s="79"/>
      <c r="C64" s="79"/>
      <c r="D64" s="79"/>
      <c r="E64" s="79"/>
      <c r="F64" s="83"/>
      <c r="G64" s="79"/>
      <c r="H64" s="79"/>
      <c r="I64" s="79"/>
      <c r="J64" s="79"/>
    </row>
    <row r="65" spans="1:10" ht="13.2" x14ac:dyDescent="0.25">
      <c r="A65" s="79"/>
      <c r="B65" s="79"/>
      <c r="C65" s="79"/>
      <c r="D65" s="79"/>
      <c r="E65" s="79"/>
      <c r="F65" s="83"/>
      <c r="G65" s="79"/>
      <c r="H65" s="79"/>
      <c r="I65" s="79"/>
      <c r="J65" s="79"/>
    </row>
    <row r="66" spans="1:10" ht="13.2" x14ac:dyDescent="0.25">
      <c r="A66" s="79"/>
      <c r="B66" s="79"/>
      <c r="C66" s="79"/>
      <c r="D66" s="79"/>
      <c r="E66" s="79"/>
      <c r="F66" s="83"/>
      <c r="G66" s="79"/>
      <c r="H66" s="79"/>
      <c r="I66" s="79"/>
      <c r="J66" s="79"/>
    </row>
    <row r="67" spans="1:10" ht="13.2" x14ac:dyDescent="0.25">
      <c r="A67" s="79"/>
      <c r="B67" s="79"/>
      <c r="C67" s="79"/>
      <c r="D67" s="79"/>
      <c r="E67" s="79"/>
      <c r="F67" s="83"/>
      <c r="G67" s="79"/>
      <c r="H67" s="79"/>
      <c r="I67" s="79"/>
      <c r="J67" s="79"/>
    </row>
    <row r="68" spans="1:10" ht="13.2" x14ac:dyDescent="0.25">
      <c r="A68" s="79"/>
      <c r="B68" s="79"/>
      <c r="C68" s="79"/>
      <c r="D68" s="79"/>
      <c r="E68" s="79"/>
      <c r="F68" s="83"/>
      <c r="G68" s="79"/>
      <c r="H68" s="79"/>
      <c r="I68" s="79"/>
      <c r="J68" s="79"/>
    </row>
    <row r="69" spans="1:10" ht="13.2" x14ac:dyDescent="0.25">
      <c r="A69" s="79"/>
      <c r="B69" s="79"/>
      <c r="C69" s="79"/>
      <c r="D69" s="79"/>
      <c r="E69" s="79"/>
      <c r="F69" s="83"/>
      <c r="G69" s="79"/>
      <c r="H69" s="79"/>
      <c r="I69" s="79"/>
      <c r="J69" s="79"/>
    </row>
    <row r="70" spans="1:10" ht="13.2" x14ac:dyDescent="0.25">
      <c r="A70" s="79"/>
      <c r="B70" s="79"/>
      <c r="C70" s="79"/>
      <c r="D70" s="79"/>
      <c r="E70" s="79"/>
      <c r="F70" s="83"/>
      <c r="G70" s="79"/>
      <c r="H70" s="79"/>
      <c r="I70" s="79"/>
      <c r="J70" s="79"/>
    </row>
    <row r="71" spans="1:10" ht="13.2" x14ac:dyDescent="0.25">
      <c r="A71" s="79"/>
      <c r="B71" s="79"/>
      <c r="C71" s="79"/>
      <c r="D71" s="79"/>
      <c r="E71" s="79"/>
      <c r="F71" s="83"/>
      <c r="G71" s="79"/>
      <c r="H71" s="79"/>
      <c r="I71" s="79"/>
      <c r="J71" s="79"/>
    </row>
    <row r="72" spans="1:10" ht="13.2" x14ac:dyDescent="0.25">
      <c r="A72" s="79"/>
      <c r="B72" s="79"/>
      <c r="C72" s="79"/>
      <c r="D72" s="79"/>
      <c r="E72" s="79"/>
      <c r="F72" s="83"/>
      <c r="G72" s="79"/>
      <c r="H72" s="79"/>
      <c r="I72" s="79"/>
      <c r="J72" s="79"/>
    </row>
    <row r="73" spans="1:10" ht="13.2" x14ac:dyDescent="0.25">
      <c r="A73" s="79"/>
      <c r="B73" s="79"/>
      <c r="C73" s="79"/>
      <c r="D73" s="79"/>
      <c r="E73" s="79"/>
      <c r="F73" s="83"/>
      <c r="G73" s="79"/>
      <c r="H73" s="79"/>
      <c r="I73" s="79"/>
      <c r="J73" s="79"/>
    </row>
    <row r="74" spans="1:10" ht="13.2" x14ac:dyDescent="0.25">
      <c r="A74" s="79"/>
      <c r="B74" s="79"/>
      <c r="C74" s="79"/>
      <c r="D74" s="79"/>
      <c r="E74" s="79"/>
      <c r="F74" s="83"/>
      <c r="G74" s="79"/>
      <c r="H74" s="79"/>
      <c r="I74" s="79"/>
      <c r="J74" s="79"/>
    </row>
    <row r="75" spans="1:10" ht="13.2" x14ac:dyDescent="0.25">
      <c r="A75" s="79"/>
      <c r="B75" s="79"/>
      <c r="C75" s="79"/>
      <c r="D75" s="79"/>
      <c r="E75" s="79"/>
      <c r="F75" s="83"/>
      <c r="G75" s="79"/>
      <c r="H75" s="79"/>
      <c r="I75" s="79"/>
      <c r="J75" s="79"/>
    </row>
    <row r="76" spans="1:10" ht="13.2" x14ac:dyDescent="0.25">
      <c r="A76" s="79"/>
      <c r="B76" s="79"/>
      <c r="C76" s="79"/>
      <c r="D76" s="79"/>
      <c r="E76" s="79"/>
      <c r="F76" s="83"/>
      <c r="G76" s="79"/>
      <c r="H76" s="79"/>
      <c r="I76" s="79"/>
      <c r="J76" s="79"/>
    </row>
    <row r="77" spans="1:10" ht="13.2" x14ac:dyDescent="0.25">
      <c r="A77" s="79"/>
      <c r="B77" s="79"/>
      <c r="C77" s="79"/>
      <c r="D77" s="79"/>
      <c r="E77" s="79"/>
      <c r="F77" s="83"/>
      <c r="G77" s="79"/>
      <c r="H77" s="79"/>
      <c r="I77" s="79"/>
      <c r="J77" s="79"/>
    </row>
    <row r="78" spans="1:10" ht="13.2" x14ac:dyDescent="0.25">
      <c r="A78" s="79"/>
      <c r="B78" s="79"/>
      <c r="C78" s="79"/>
      <c r="D78" s="79"/>
      <c r="E78" s="79"/>
      <c r="F78" s="83"/>
      <c r="G78" s="79"/>
      <c r="H78" s="79"/>
      <c r="I78" s="79"/>
      <c r="J78" s="79"/>
    </row>
    <row r="79" spans="1:10" ht="13.2" x14ac:dyDescent="0.25">
      <c r="A79" s="79"/>
      <c r="B79" s="79"/>
      <c r="C79" s="79"/>
      <c r="D79" s="79"/>
      <c r="E79" s="79"/>
      <c r="F79" s="83"/>
      <c r="G79" s="79"/>
      <c r="H79" s="79"/>
      <c r="I79" s="79"/>
      <c r="J79" s="79"/>
    </row>
    <row r="80" spans="1:10" ht="13.2" x14ac:dyDescent="0.25">
      <c r="A80" s="79"/>
      <c r="B80" s="79"/>
      <c r="C80" s="79"/>
      <c r="D80" s="79"/>
      <c r="E80" s="79"/>
      <c r="F80" s="83"/>
      <c r="G80" s="79"/>
      <c r="H80" s="79"/>
      <c r="I80" s="79"/>
      <c r="J80" s="79"/>
    </row>
    <row r="81" spans="1:10" ht="13.2" x14ac:dyDescent="0.25">
      <c r="A81" s="79"/>
      <c r="B81" s="79"/>
      <c r="C81" s="79"/>
      <c r="D81" s="79"/>
      <c r="E81" s="79"/>
      <c r="F81" s="83"/>
      <c r="G81" s="79"/>
      <c r="H81" s="79"/>
      <c r="I81" s="79"/>
      <c r="J81" s="79"/>
    </row>
    <row r="82" spans="1:10" ht="13.2" x14ac:dyDescent="0.25">
      <c r="A82" s="79"/>
      <c r="B82" s="79"/>
      <c r="C82" s="79"/>
      <c r="D82" s="79"/>
      <c r="E82" s="79"/>
      <c r="F82" s="83"/>
      <c r="G82" s="79"/>
      <c r="H82" s="79"/>
      <c r="I82" s="79"/>
      <c r="J82" s="79"/>
    </row>
    <row r="83" spans="1:10" ht="13.2" x14ac:dyDescent="0.25">
      <c r="A83" s="79"/>
      <c r="B83" s="79"/>
      <c r="C83" s="79"/>
      <c r="D83" s="79"/>
      <c r="E83" s="79"/>
      <c r="F83" s="83"/>
      <c r="G83" s="79"/>
      <c r="H83" s="79"/>
      <c r="I83" s="79"/>
      <c r="J83" s="79"/>
    </row>
    <row r="84" spans="1:10" ht="13.2" x14ac:dyDescent="0.25">
      <c r="A84" s="79"/>
      <c r="B84" s="79"/>
      <c r="C84" s="79"/>
      <c r="D84" s="79"/>
      <c r="E84" s="79"/>
      <c r="F84" s="83"/>
      <c r="G84" s="79"/>
      <c r="H84" s="79"/>
      <c r="I84" s="79"/>
      <c r="J84" s="79"/>
    </row>
    <row r="85" spans="1:10" ht="13.2" x14ac:dyDescent="0.25">
      <c r="A85" s="79"/>
      <c r="B85" s="79"/>
      <c r="C85" s="79"/>
      <c r="D85" s="79"/>
      <c r="E85" s="79"/>
      <c r="F85" s="83"/>
      <c r="G85" s="79"/>
      <c r="H85" s="79"/>
      <c r="I85" s="79"/>
      <c r="J85" s="79"/>
    </row>
    <row r="86" spans="1:10" ht="13.2" x14ac:dyDescent="0.25">
      <c r="A86" s="79"/>
      <c r="B86" s="79"/>
      <c r="C86" s="79"/>
      <c r="D86" s="79"/>
      <c r="E86" s="79"/>
      <c r="F86" s="83"/>
      <c r="G86" s="79"/>
      <c r="H86" s="79"/>
      <c r="I86" s="79"/>
      <c r="J86" s="79"/>
    </row>
    <row r="87" spans="1:10" ht="13.2" x14ac:dyDescent="0.25">
      <c r="A87" s="79"/>
      <c r="B87" s="79"/>
      <c r="C87" s="79"/>
      <c r="D87" s="79"/>
      <c r="E87" s="79"/>
      <c r="F87" s="83"/>
      <c r="G87" s="79"/>
      <c r="H87" s="79"/>
      <c r="I87" s="79"/>
      <c r="J87" s="79"/>
    </row>
    <row r="88" spans="1:10" ht="13.2" x14ac:dyDescent="0.25">
      <c r="A88" s="79"/>
      <c r="B88" s="79"/>
      <c r="C88" s="79"/>
      <c r="D88" s="79"/>
      <c r="E88" s="79"/>
      <c r="F88" s="83"/>
      <c r="G88" s="79"/>
      <c r="H88" s="79"/>
      <c r="I88" s="79"/>
      <c r="J88" s="79"/>
    </row>
    <row r="89" spans="1:10" ht="13.2" x14ac:dyDescent="0.25">
      <c r="A89" s="79"/>
      <c r="B89" s="79"/>
      <c r="C89" s="79"/>
      <c r="D89" s="79"/>
      <c r="E89" s="79"/>
      <c r="F89" s="83"/>
      <c r="G89" s="79"/>
      <c r="H89" s="79"/>
      <c r="I89" s="79"/>
      <c r="J89" s="79"/>
    </row>
    <row r="90" spans="1:10" ht="13.2" x14ac:dyDescent="0.25">
      <c r="A90" s="79"/>
      <c r="B90" s="79"/>
      <c r="C90" s="79"/>
      <c r="D90" s="79"/>
      <c r="E90" s="79"/>
      <c r="F90" s="83"/>
      <c r="G90" s="79"/>
      <c r="H90" s="79"/>
      <c r="I90" s="79"/>
      <c r="J90" s="79"/>
    </row>
    <row r="91" spans="1:10" ht="13.2" x14ac:dyDescent="0.25">
      <c r="A91" s="79"/>
      <c r="B91" s="79"/>
      <c r="C91" s="79"/>
      <c r="D91" s="79"/>
      <c r="E91" s="79"/>
      <c r="F91" s="83"/>
      <c r="G91" s="79"/>
      <c r="H91" s="79"/>
      <c r="I91" s="79"/>
      <c r="J91" s="79"/>
    </row>
    <row r="92" spans="1:10" ht="13.2" x14ac:dyDescent="0.25">
      <c r="A92" s="79"/>
      <c r="B92" s="79"/>
      <c r="C92" s="79"/>
      <c r="D92" s="79"/>
      <c r="E92" s="79"/>
      <c r="F92" s="83"/>
      <c r="G92" s="79"/>
      <c r="H92" s="79"/>
      <c r="I92" s="79"/>
      <c r="J92" s="79"/>
    </row>
    <row r="93" spans="1:10" ht="13.2" x14ac:dyDescent="0.25">
      <c r="A93" s="79"/>
      <c r="B93" s="79"/>
      <c r="C93" s="79"/>
      <c r="D93" s="79"/>
      <c r="E93" s="79"/>
      <c r="F93" s="83"/>
      <c r="G93" s="79"/>
      <c r="H93" s="79"/>
      <c r="I93" s="79"/>
      <c r="J93" s="79"/>
    </row>
    <row r="94" spans="1:10" ht="13.2" x14ac:dyDescent="0.25">
      <c r="A94" s="79"/>
      <c r="B94" s="79"/>
      <c r="C94" s="79"/>
      <c r="D94" s="79"/>
      <c r="E94" s="79"/>
      <c r="F94" s="83"/>
      <c r="G94" s="79"/>
      <c r="H94" s="79"/>
      <c r="I94" s="79"/>
      <c r="J94" s="79"/>
    </row>
    <row r="95" spans="1:10" ht="13.2" x14ac:dyDescent="0.25">
      <c r="A95" s="79"/>
      <c r="B95" s="79"/>
      <c r="C95" s="79"/>
      <c r="D95" s="79"/>
      <c r="E95" s="79"/>
      <c r="F95" s="83"/>
      <c r="G95" s="79"/>
      <c r="H95" s="79"/>
      <c r="I95" s="79"/>
      <c r="J95" s="79"/>
    </row>
    <row r="96" spans="1:10" ht="13.2" x14ac:dyDescent="0.25">
      <c r="A96" s="79"/>
      <c r="B96" s="79"/>
      <c r="C96" s="79"/>
      <c r="D96" s="79"/>
      <c r="E96" s="79"/>
      <c r="F96" s="83"/>
      <c r="G96" s="79"/>
      <c r="H96" s="79"/>
      <c r="I96" s="79"/>
      <c r="J96" s="79"/>
    </row>
    <row r="97" spans="1:10" ht="13.2" x14ac:dyDescent="0.25">
      <c r="A97" s="79"/>
      <c r="B97" s="79"/>
      <c r="C97" s="79"/>
      <c r="D97" s="79"/>
      <c r="E97" s="79"/>
      <c r="F97" s="83"/>
      <c r="G97" s="79"/>
      <c r="H97" s="79"/>
      <c r="I97" s="79"/>
      <c r="J97" s="79"/>
    </row>
    <row r="98" spans="1:10" ht="13.2" x14ac:dyDescent="0.25">
      <c r="A98" s="79"/>
      <c r="B98" s="79"/>
      <c r="C98" s="79"/>
      <c r="D98" s="79"/>
      <c r="E98" s="79"/>
      <c r="F98" s="83"/>
      <c r="G98" s="79"/>
      <c r="H98" s="79"/>
      <c r="I98" s="79"/>
      <c r="J98" s="79"/>
    </row>
    <row r="99" spans="1:10" ht="13.2" x14ac:dyDescent="0.25">
      <c r="A99" s="79"/>
      <c r="B99" s="79"/>
      <c r="C99" s="79"/>
      <c r="D99" s="79"/>
      <c r="E99" s="79"/>
      <c r="F99" s="83"/>
      <c r="G99" s="79"/>
      <c r="H99" s="79"/>
      <c r="I99" s="79"/>
      <c r="J99" s="79"/>
    </row>
    <row r="100" spans="1:10" ht="13.2" x14ac:dyDescent="0.25">
      <c r="A100" s="79"/>
      <c r="B100" s="79"/>
      <c r="C100" s="79"/>
      <c r="D100" s="79"/>
      <c r="E100" s="79"/>
      <c r="F100" s="83"/>
      <c r="G100" s="79"/>
      <c r="H100" s="79"/>
      <c r="I100" s="79"/>
      <c r="J100" s="79"/>
    </row>
    <row r="101" spans="1:10" ht="13.2" x14ac:dyDescent="0.25">
      <c r="A101" s="79"/>
      <c r="B101" s="79"/>
      <c r="C101" s="79"/>
      <c r="D101" s="79"/>
      <c r="E101" s="79"/>
      <c r="F101" s="83"/>
      <c r="G101" s="79"/>
      <c r="H101" s="79"/>
      <c r="I101" s="79"/>
      <c r="J101" s="79"/>
    </row>
    <row r="102" spans="1:10" ht="13.2" x14ac:dyDescent="0.25">
      <c r="A102" s="79"/>
      <c r="B102" s="79"/>
      <c r="C102" s="79"/>
      <c r="D102" s="79"/>
      <c r="E102" s="79"/>
      <c r="F102" s="83"/>
      <c r="G102" s="79"/>
      <c r="H102" s="79"/>
      <c r="I102" s="79"/>
      <c r="J102" s="79"/>
    </row>
    <row r="103" spans="1:10" ht="13.2" x14ac:dyDescent="0.25">
      <c r="A103" s="79"/>
      <c r="B103" s="79"/>
      <c r="C103" s="79"/>
      <c r="D103" s="79"/>
      <c r="E103" s="79"/>
      <c r="F103" s="83"/>
      <c r="G103" s="79"/>
      <c r="H103" s="79"/>
      <c r="I103" s="79"/>
      <c r="J103" s="79"/>
    </row>
    <row r="104" spans="1:10" ht="13.2" x14ac:dyDescent="0.25">
      <c r="A104" s="79"/>
      <c r="B104" s="79"/>
      <c r="C104" s="79"/>
      <c r="D104" s="79"/>
      <c r="E104" s="79"/>
      <c r="F104" s="83"/>
      <c r="G104" s="79"/>
      <c r="H104" s="79"/>
      <c r="I104" s="79"/>
      <c r="J104" s="79"/>
    </row>
    <row r="105" spans="1:10" ht="13.2" x14ac:dyDescent="0.25">
      <c r="A105" s="79"/>
      <c r="B105" s="79"/>
      <c r="C105" s="79"/>
      <c r="D105" s="79"/>
      <c r="E105" s="79"/>
      <c r="F105" s="83"/>
      <c r="G105" s="79"/>
      <c r="H105" s="79"/>
      <c r="I105" s="79"/>
      <c r="J105" s="79"/>
    </row>
    <row r="106" spans="1:10" ht="13.2" x14ac:dyDescent="0.25">
      <c r="A106" s="79"/>
      <c r="B106" s="79"/>
      <c r="C106" s="79"/>
      <c r="D106" s="79"/>
      <c r="E106" s="79"/>
      <c r="F106" s="83"/>
      <c r="G106" s="79"/>
      <c r="H106" s="79"/>
      <c r="I106" s="79"/>
      <c r="J106" s="79"/>
    </row>
    <row r="107" spans="1:10" ht="13.2" x14ac:dyDescent="0.25">
      <c r="A107" s="79"/>
      <c r="B107" s="79"/>
      <c r="C107" s="79"/>
      <c r="D107" s="79"/>
      <c r="E107" s="79"/>
      <c r="F107" s="83"/>
      <c r="G107" s="79"/>
      <c r="H107" s="79"/>
      <c r="I107" s="79"/>
      <c r="J107" s="79"/>
    </row>
    <row r="108" spans="1:10" ht="13.2" x14ac:dyDescent="0.25">
      <c r="A108" s="79"/>
      <c r="B108" s="79"/>
      <c r="C108" s="79"/>
      <c r="D108" s="79"/>
      <c r="E108" s="79"/>
      <c r="F108" s="83"/>
      <c r="G108" s="79"/>
      <c r="H108" s="79"/>
      <c r="I108" s="79"/>
      <c r="J108" s="79"/>
    </row>
    <row r="109" spans="1:10" ht="13.2" x14ac:dyDescent="0.25">
      <c r="A109" s="79"/>
      <c r="B109" s="79"/>
      <c r="C109" s="79"/>
      <c r="D109" s="79"/>
      <c r="E109" s="79"/>
      <c r="F109" s="83"/>
      <c r="G109" s="79"/>
      <c r="H109" s="79"/>
      <c r="I109" s="79"/>
      <c r="J109" s="79"/>
    </row>
    <row r="110" spans="1:10" ht="13.2" x14ac:dyDescent="0.25">
      <c r="A110" s="79"/>
      <c r="B110" s="79"/>
      <c r="C110" s="79"/>
      <c r="D110" s="79"/>
      <c r="E110" s="79"/>
      <c r="F110" s="83"/>
      <c r="G110" s="79"/>
      <c r="H110" s="79"/>
      <c r="I110" s="79"/>
      <c r="J110" s="79"/>
    </row>
    <row r="111" spans="1:10" ht="13.2" x14ac:dyDescent="0.25">
      <c r="A111" s="79"/>
      <c r="B111" s="79"/>
      <c r="C111" s="79"/>
      <c r="D111" s="79"/>
      <c r="E111" s="79"/>
      <c r="F111" s="83"/>
      <c r="G111" s="79"/>
      <c r="H111" s="79"/>
      <c r="I111" s="79"/>
      <c r="J111" s="79"/>
    </row>
    <row r="112" spans="1:10" ht="13.2" x14ac:dyDescent="0.25">
      <c r="A112" s="79"/>
      <c r="B112" s="79"/>
      <c r="C112" s="79"/>
      <c r="D112" s="79"/>
      <c r="E112" s="79"/>
      <c r="F112" s="83"/>
      <c r="G112" s="79"/>
      <c r="H112" s="79"/>
      <c r="I112" s="79"/>
      <c r="J112" s="79"/>
    </row>
    <row r="113" spans="1:10" ht="13.2" x14ac:dyDescent="0.25">
      <c r="A113" s="79"/>
      <c r="B113" s="79"/>
      <c r="C113" s="79"/>
      <c r="D113" s="79"/>
      <c r="E113" s="79"/>
      <c r="F113" s="83"/>
      <c r="G113" s="79"/>
      <c r="H113" s="79"/>
      <c r="I113" s="79"/>
      <c r="J113" s="79"/>
    </row>
    <row r="114" spans="1:10" ht="13.2" x14ac:dyDescent="0.25">
      <c r="F114" s="76"/>
    </row>
    <row r="115" spans="1:10" ht="13.2" x14ac:dyDescent="0.25">
      <c r="F115" s="76"/>
    </row>
    <row r="116" spans="1:10" ht="13.2" x14ac:dyDescent="0.25">
      <c r="F116" s="76"/>
    </row>
    <row r="117" spans="1:10" ht="13.2" x14ac:dyDescent="0.25">
      <c r="F117" s="76"/>
    </row>
    <row r="118" spans="1:10" ht="13.2" x14ac:dyDescent="0.25">
      <c r="F118" s="76"/>
    </row>
    <row r="119" spans="1:10" ht="13.2" x14ac:dyDescent="0.25">
      <c r="F119" s="76"/>
    </row>
    <row r="120" spans="1:10" ht="13.2" x14ac:dyDescent="0.25">
      <c r="F120" s="76"/>
    </row>
    <row r="121" spans="1:10" ht="13.2" x14ac:dyDescent="0.25">
      <c r="F121" s="76"/>
    </row>
    <row r="122" spans="1:10" ht="13.2" x14ac:dyDescent="0.25">
      <c r="F122" s="76"/>
    </row>
    <row r="123" spans="1:10" ht="13.2" x14ac:dyDescent="0.25">
      <c r="F123" s="76"/>
    </row>
    <row r="124" spans="1:10" ht="13.2" x14ac:dyDescent="0.25">
      <c r="F124" s="76"/>
    </row>
    <row r="125" spans="1:10" ht="13.2" x14ac:dyDescent="0.25">
      <c r="F125" s="76"/>
    </row>
    <row r="126" spans="1:10" ht="13.2" x14ac:dyDescent="0.25">
      <c r="F126" s="76"/>
    </row>
    <row r="127" spans="1:10" ht="13.2" x14ac:dyDescent="0.25">
      <c r="F127" s="76"/>
    </row>
    <row r="128" spans="1:10" ht="13.2" x14ac:dyDescent="0.25">
      <c r="F128" s="76"/>
    </row>
    <row r="129" spans="6:6" ht="13.2" x14ac:dyDescent="0.25">
      <c r="F129" s="76"/>
    </row>
    <row r="130" spans="6:6" ht="13.2" x14ac:dyDescent="0.25">
      <c r="F130" s="76"/>
    </row>
    <row r="131" spans="6:6" ht="13.2" x14ac:dyDescent="0.25">
      <c r="F131" s="76"/>
    </row>
    <row r="132" spans="6:6" ht="13.2" x14ac:dyDescent="0.25">
      <c r="F132" s="76"/>
    </row>
    <row r="133" spans="6:6" ht="13.2" x14ac:dyDescent="0.25">
      <c r="F133" s="76"/>
    </row>
    <row r="134" spans="6:6" ht="13.2" x14ac:dyDescent="0.25">
      <c r="F134" s="76"/>
    </row>
    <row r="135" spans="6:6" ht="13.2" x14ac:dyDescent="0.25">
      <c r="F135" s="76"/>
    </row>
    <row r="136" spans="6:6" ht="13.2" x14ac:dyDescent="0.25">
      <c r="F136" s="76"/>
    </row>
    <row r="137" spans="6:6" ht="13.2" x14ac:dyDescent="0.25">
      <c r="F137" s="76"/>
    </row>
    <row r="138" spans="6:6" ht="13.2" x14ac:dyDescent="0.25">
      <c r="F138" s="76"/>
    </row>
    <row r="139" spans="6:6" ht="13.2" x14ac:dyDescent="0.25">
      <c r="F139" s="76"/>
    </row>
    <row r="140" spans="6:6" ht="13.2" x14ac:dyDescent="0.25">
      <c r="F140" s="76"/>
    </row>
    <row r="141" spans="6:6" ht="13.2" x14ac:dyDescent="0.25">
      <c r="F141" s="76"/>
    </row>
    <row r="142" spans="6:6" ht="13.2" x14ac:dyDescent="0.25">
      <c r="F142" s="76"/>
    </row>
    <row r="143" spans="6:6" ht="13.2" x14ac:dyDescent="0.25">
      <c r="F143" s="76"/>
    </row>
    <row r="144" spans="6:6" ht="13.2" x14ac:dyDescent="0.25">
      <c r="F144" s="76"/>
    </row>
    <row r="145" spans="6:6" ht="13.2" x14ac:dyDescent="0.25">
      <c r="F145" s="76"/>
    </row>
    <row r="146" spans="6:6" ht="13.2" x14ac:dyDescent="0.25">
      <c r="F146" s="76"/>
    </row>
    <row r="147" spans="6:6" ht="13.2" x14ac:dyDescent="0.25">
      <c r="F147" s="76"/>
    </row>
    <row r="148" spans="6:6" ht="13.2" x14ac:dyDescent="0.25">
      <c r="F148" s="76"/>
    </row>
    <row r="149" spans="6:6" ht="13.2" x14ac:dyDescent="0.25">
      <c r="F149" s="76"/>
    </row>
    <row r="150" spans="6:6" ht="13.2" x14ac:dyDescent="0.25">
      <c r="F150" s="76"/>
    </row>
    <row r="151" spans="6:6" ht="13.2" x14ac:dyDescent="0.25">
      <c r="F151" s="76"/>
    </row>
    <row r="152" spans="6:6" ht="13.2" x14ac:dyDescent="0.25">
      <c r="F152" s="76"/>
    </row>
    <row r="153" spans="6:6" ht="13.2" x14ac:dyDescent="0.25">
      <c r="F153" s="76"/>
    </row>
    <row r="154" spans="6:6" ht="13.2" x14ac:dyDescent="0.25">
      <c r="F154" s="76"/>
    </row>
    <row r="155" spans="6:6" ht="13.2" x14ac:dyDescent="0.25">
      <c r="F155" s="76"/>
    </row>
    <row r="156" spans="6:6" ht="13.2" x14ac:dyDescent="0.25">
      <c r="F156" s="76"/>
    </row>
    <row r="157" spans="6:6" ht="13.2" x14ac:dyDescent="0.25">
      <c r="F157" s="76"/>
    </row>
    <row r="158" spans="6:6" ht="13.2" x14ac:dyDescent="0.25">
      <c r="F158" s="76"/>
    </row>
    <row r="159" spans="6:6" ht="13.2" x14ac:dyDescent="0.25">
      <c r="F159" s="76"/>
    </row>
    <row r="160" spans="6:6" ht="13.2" x14ac:dyDescent="0.25">
      <c r="F160" s="76"/>
    </row>
    <row r="161" spans="6:6" ht="13.2" x14ac:dyDescent="0.25">
      <c r="F161" s="76"/>
    </row>
    <row r="162" spans="6:6" ht="13.2" x14ac:dyDescent="0.25">
      <c r="F162" s="76"/>
    </row>
    <row r="163" spans="6:6" ht="13.2" x14ac:dyDescent="0.25">
      <c r="F163" s="76"/>
    </row>
    <row r="164" spans="6:6" ht="13.2" x14ac:dyDescent="0.25">
      <c r="F164" s="76"/>
    </row>
    <row r="165" spans="6:6" ht="13.2" x14ac:dyDescent="0.25">
      <c r="F165" s="76"/>
    </row>
    <row r="166" spans="6:6" ht="13.2" x14ac:dyDescent="0.25">
      <c r="F166" s="76"/>
    </row>
    <row r="167" spans="6:6" ht="13.2" x14ac:dyDescent="0.25">
      <c r="F167" s="76"/>
    </row>
    <row r="168" spans="6:6" ht="13.2" x14ac:dyDescent="0.25">
      <c r="F168" s="76"/>
    </row>
    <row r="169" spans="6:6" ht="13.2" x14ac:dyDescent="0.25">
      <c r="F169" s="76"/>
    </row>
    <row r="170" spans="6:6" ht="13.2" x14ac:dyDescent="0.25">
      <c r="F170" s="76"/>
    </row>
    <row r="171" spans="6:6" ht="13.2" x14ac:dyDescent="0.25">
      <c r="F171" s="76"/>
    </row>
    <row r="172" spans="6:6" ht="13.2" x14ac:dyDescent="0.25">
      <c r="F172" s="76"/>
    </row>
    <row r="173" spans="6:6" ht="13.2" x14ac:dyDescent="0.25">
      <c r="F173" s="76"/>
    </row>
    <row r="174" spans="6:6" ht="13.2" x14ac:dyDescent="0.25">
      <c r="F174" s="76"/>
    </row>
    <row r="175" spans="6:6" ht="13.2" x14ac:dyDescent="0.25">
      <c r="F175" s="76"/>
    </row>
    <row r="176" spans="6:6" ht="13.2" x14ac:dyDescent="0.25">
      <c r="F176" s="76"/>
    </row>
    <row r="177" spans="6:6" ht="13.2" x14ac:dyDescent="0.25">
      <c r="F177" s="76"/>
    </row>
    <row r="178" spans="6:6" ht="13.2" x14ac:dyDescent="0.25">
      <c r="F178" s="76"/>
    </row>
    <row r="179" spans="6:6" ht="13.2" x14ac:dyDescent="0.25">
      <c r="F179" s="76"/>
    </row>
    <row r="180" spans="6:6" ht="13.2" x14ac:dyDescent="0.25">
      <c r="F180" s="76"/>
    </row>
    <row r="181" spans="6:6" ht="13.2" x14ac:dyDescent="0.25">
      <c r="F181" s="76"/>
    </row>
    <row r="182" spans="6:6" ht="13.2" x14ac:dyDescent="0.25">
      <c r="F182" s="76"/>
    </row>
    <row r="183" spans="6:6" ht="13.2" x14ac:dyDescent="0.25">
      <c r="F183" s="76"/>
    </row>
    <row r="184" spans="6:6" ht="13.2" x14ac:dyDescent="0.25">
      <c r="F184" s="76"/>
    </row>
    <row r="185" spans="6:6" ht="13.2" x14ac:dyDescent="0.25">
      <c r="F185" s="76"/>
    </row>
    <row r="186" spans="6:6" ht="13.2" x14ac:dyDescent="0.25">
      <c r="F186" s="76"/>
    </row>
    <row r="187" spans="6:6" ht="13.2" x14ac:dyDescent="0.25">
      <c r="F187" s="76"/>
    </row>
    <row r="188" spans="6:6" ht="13.2" x14ac:dyDescent="0.25">
      <c r="F188" s="76"/>
    </row>
    <row r="189" spans="6:6" ht="13.2" x14ac:dyDescent="0.25">
      <c r="F189" s="76"/>
    </row>
    <row r="190" spans="6:6" ht="13.2" x14ac:dyDescent="0.25">
      <c r="F190" s="76"/>
    </row>
    <row r="191" spans="6:6" ht="13.2" x14ac:dyDescent="0.25">
      <c r="F191" s="76"/>
    </row>
    <row r="192" spans="6:6" ht="13.2" x14ac:dyDescent="0.25">
      <c r="F192" s="76"/>
    </row>
    <row r="193" spans="6:6" ht="13.2" x14ac:dyDescent="0.25">
      <c r="F193" s="76"/>
    </row>
    <row r="194" spans="6:6" ht="13.2" x14ac:dyDescent="0.25">
      <c r="F194" s="76"/>
    </row>
    <row r="195" spans="6:6" ht="13.2" x14ac:dyDescent="0.25">
      <c r="F195" s="76"/>
    </row>
    <row r="196" spans="6:6" ht="13.2" x14ac:dyDescent="0.25">
      <c r="F196" s="76"/>
    </row>
    <row r="197" spans="6:6" ht="13.2" x14ac:dyDescent="0.25">
      <c r="F197" s="76"/>
    </row>
    <row r="198" spans="6:6" ht="13.2" x14ac:dyDescent="0.25">
      <c r="F198" s="76"/>
    </row>
    <row r="199" spans="6:6" ht="13.2" x14ac:dyDescent="0.25">
      <c r="F199" s="76"/>
    </row>
    <row r="200" spans="6:6" ht="13.2" x14ac:dyDescent="0.25">
      <c r="F200" s="76"/>
    </row>
    <row r="201" spans="6:6" ht="13.2" x14ac:dyDescent="0.25">
      <c r="F201" s="76"/>
    </row>
    <row r="202" spans="6:6" ht="13.2" x14ac:dyDescent="0.25">
      <c r="F202" s="76"/>
    </row>
    <row r="203" spans="6:6" ht="13.2" x14ac:dyDescent="0.25">
      <c r="F203" s="76"/>
    </row>
    <row r="204" spans="6:6" ht="13.2" x14ac:dyDescent="0.25">
      <c r="F204" s="76"/>
    </row>
    <row r="205" spans="6:6" ht="13.2" x14ac:dyDescent="0.25">
      <c r="F205" s="76"/>
    </row>
    <row r="206" spans="6:6" ht="13.2" x14ac:dyDescent="0.25">
      <c r="F206" s="76"/>
    </row>
    <row r="207" spans="6:6" ht="13.2" x14ac:dyDescent="0.25">
      <c r="F207" s="76"/>
    </row>
    <row r="208" spans="6:6" ht="13.2" x14ac:dyDescent="0.25">
      <c r="F208" s="76"/>
    </row>
    <row r="209" spans="6:6" ht="13.2" x14ac:dyDescent="0.25">
      <c r="F209" s="76"/>
    </row>
    <row r="210" spans="6:6" ht="13.2" x14ac:dyDescent="0.25">
      <c r="F210" s="76"/>
    </row>
    <row r="211" spans="6:6" ht="13.2" x14ac:dyDescent="0.25">
      <c r="F211" s="76"/>
    </row>
    <row r="212" spans="6:6" ht="13.2" x14ac:dyDescent="0.25">
      <c r="F212" s="76"/>
    </row>
    <row r="213" spans="6:6" ht="13.2" x14ac:dyDescent="0.25">
      <c r="F213" s="76"/>
    </row>
    <row r="214" spans="6:6" ht="13.2" x14ac:dyDescent="0.25">
      <c r="F214" s="76"/>
    </row>
    <row r="215" spans="6:6" ht="13.2" x14ac:dyDescent="0.25">
      <c r="F215" s="76"/>
    </row>
    <row r="216" spans="6:6" ht="13.2" x14ac:dyDescent="0.25">
      <c r="F216" s="76"/>
    </row>
    <row r="217" spans="6:6" ht="13.2" x14ac:dyDescent="0.25">
      <c r="F217" s="76"/>
    </row>
    <row r="218" spans="6:6" ht="13.2" x14ac:dyDescent="0.25">
      <c r="F218" s="76"/>
    </row>
    <row r="219" spans="6:6" ht="13.2" x14ac:dyDescent="0.25">
      <c r="F219" s="76"/>
    </row>
    <row r="220" spans="6:6" ht="13.2" x14ac:dyDescent="0.25">
      <c r="F220" s="76"/>
    </row>
    <row r="221" spans="6:6" ht="13.2" x14ac:dyDescent="0.25">
      <c r="F221" s="76"/>
    </row>
    <row r="222" spans="6:6" ht="13.2" x14ac:dyDescent="0.25">
      <c r="F222" s="76"/>
    </row>
    <row r="223" spans="6:6" ht="13.2" x14ac:dyDescent="0.25">
      <c r="F223" s="76"/>
    </row>
    <row r="224" spans="6:6" ht="13.2" x14ac:dyDescent="0.25">
      <c r="F224" s="76"/>
    </row>
    <row r="225" spans="6:6" ht="13.2" x14ac:dyDescent="0.25">
      <c r="F225" s="76"/>
    </row>
    <row r="226" spans="6:6" ht="13.2" x14ac:dyDescent="0.25">
      <c r="F226" s="76"/>
    </row>
    <row r="227" spans="6:6" ht="13.2" x14ac:dyDescent="0.25">
      <c r="F227" s="76"/>
    </row>
    <row r="228" spans="6:6" ht="13.2" x14ac:dyDescent="0.25">
      <c r="F228" s="76"/>
    </row>
    <row r="229" spans="6:6" ht="13.2" x14ac:dyDescent="0.25">
      <c r="F229" s="76"/>
    </row>
    <row r="230" spans="6:6" ht="13.2" x14ac:dyDescent="0.25">
      <c r="F230" s="76"/>
    </row>
    <row r="231" spans="6:6" ht="13.2" x14ac:dyDescent="0.25">
      <c r="F231" s="76"/>
    </row>
    <row r="232" spans="6:6" ht="13.2" x14ac:dyDescent="0.25">
      <c r="F232" s="76"/>
    </row>
    <row r="233" spans="6:6" ht="13.2" x14ac:dyDescent="0.25">
      <c r="F233" s="76"/>
    </row>
    <row r="234" spans="6:6" ht="13.2" x14ac:dyDescent="0.25">
      <c r="F234" s="76"/>
    </row>
    <row r="235" spans="6:6" ht="13.2" x14ac:dyDescent="0.25">
      <c r="F235" s="76"/>
    </row>
    <row r="236" spans="6:6" ht="13.2" x14ac:dyDescent="0.25">
      <c r="F236" s="76"/>
    </row>
    <row r="237" spans="6:6" ht="13.2" x14ac:dyDescent="0.25">
      <c r="F237" s="76"/>
    </row>
    <row r="238" spans="6:6" ht="13.2" x14ac:dyDescent="0.25">
      <c r="F238" s="76"/>
    </row>
    <row r="239" spans="6:6" ht="13.2" x14ac:dyDescent="0.25">
      <c r="F239" s="76"/>
    </row>
    <row r="240" spans="6:6" ht="13.2" x14ac:dyDescent="0.25">
      <c r="F240" s="76"/>
    </row>
    <row r="241" spans="6:6" ht="13.2" x14ac:dyDescent="0.25">
      <c r="F241" s="76"/>
    </row>
    <row r="242" spans="6:6" ht="13.2" x14ac:dyDescent="0.25">
      <c r="F242" s="76"/>
    </row>
    <row r="243" spans="6:6" ht="13.2" x14ac:dyDescent="0.25">
      <c r="F243" s="76"/>
    </row>
    <row r="244" spans="6:6" ht="13.2" x14ac:dyDescent="0.25">
      <c r="F244" s="76"/>
    </row>
    <row r="245" spans="6:6" ht="13.2" x14ac:dyDescent="0.25">
      <c r="F245" s="76"/>
    </row>
    <row r="246" spans="6:6" ht="13.2" x14ac:dyDescent="0.25">
      <c r="F246" s="76"/>
    </row>
    <row r="247" spans="6:6" ht="13.2" x14ac:dyDescent="0.25">
      <c r="F247" s="76"/>
    </row>
    <row r="248" spans="6:6" ht="13.2" x14ac:dyDescent="0.25">
      <c r="F248" s="76"/>
    </row>
    <row r="249" spans="6:6" ht="13.2" x14ac:dyDescent="0.25">
      <c r="F249" s="76"/>
    </row>
    <row r="250" spans="6:6" ht="13.2" x14ac:dyDescent="0.25">
      <c r="F250" s="76"/>
    </row>
    <row r="251" spans="6:6" ht="13.2" x14ac:dyDescent="0.25">
      <c r="F251" s="76"/>
    </row>
    <row r="252" spans="6:6" ht="13.2" x14ac:dyDescent="0.25">
      <c r="F252" s="76"/>
    </row>
    <row r="253" spans="6:6" ht="13.2" x14ac:dyDescent="0.25">
      <c r="F253" s="76"/>
    </row>
    <row r="254" spans="6:6" ht="13.2" x14ac:dyDescent="0.25">
      <c r="F254" s="76"/>
    </row>
    <row r="255" spans="6:6" ht="13.2" x14ac:dyDescent="0.25">
      <c r="F255" s="76"/>
    </row>
    <row r="256" spans="6:6" ht="13.2" x14ac:dyDescent="0.25">
      <c r="F256" s="76"/>
    </row>
    <row r="257" spans="6:6" ht="13.2" x14ac:dyDescent="0.25">
      <c r="F257" s="76"/>
    </row>
    <row r="258" spans="6:6" ht="13.2" x14ac:dyDescent="0.25">
      <c r="F258" s="76"/>
    </row>
    <row r="259" spans="6:6" ht="13.2" x14ac:dyDescent="0.25">
      <c r="F259" s="76"/>
    </row>
    <row r="260" spans="6:6" ht="13.2" x14ac:dyDescent="0.25">
      <c r="F260" s="76"/>
    </row>
    <row r="261" spans="6:6" ht="13.2" x14ac:dyDescent="0.25">
      <c r="F261" s="76"/>
    </row>
    <row r="262" spans="6:6" ht="13.2" x14ac:dyDescent="0.25">
      <c r="F262" s="76"/>
    </row>
    <row r="263" spans="6:6" ht="13.2" x14ac:dyDescent="0.25">
      <c r="F263" s="76"/>
    </row>
    <row r="264" spans="6:6" ht="13.2" x14ac:dyDescent="0.25">
      <c r="F264" s="76"/>
    </row>
    <row r="265" spans="6:6" ht="13.2" x14ac:dyDescent="0.25">
      <c r="F265" s="76"/>
    </row>
    <row r="266" spans="6:6" ht="13.2" x14ac:dyDescent="0.25">
      <c r="F266" s="76"/>
    </row>
    <row r="267" spans="6:6" ht="13.2" x14ac:dyDescent="0.25">
      <c r="F267" s="76"/>
    </row>
    <row r="268" spans="6:6" ht="13.2" x14ac:dyDescent="0.25">
      <c r="F268" s="76"/>
    </row>
    <row r="269" spans="6:6" ht="13.2" x14ac:dyDescent="0.25">
      <c r="F269" s="76"/>
    </row>
    <row r="270" spans="6:6" ht="13.2" x14ac:dyDescent="0.25">
      <c r="F270" s="76"/>
    </row>
    <row r="271" spans="6:6" ht="13.2" x14ac:dyDescent="0.25">
      <c r="F271" s="76"/>
    </row>
    <row r="272" spans="6:6" ht="13.2" x14ac:dyDescent="0.25">
      <c r="F272" s="76"/>
    </row>
    <row r="273" spans="6:6" ht="13.2" x14ac:dyDescent="0.25">
      <c r="F273" s="76"/>
    </row>
    <row r="274" spans="6:6" ht="13.2" x14ac:dyDescent="0.25">
      <c r="F274" s="76"/>
    </row>
    <row r="275" spans="6:6" ht="13.2" x14ac:dyDescent="0.25">
      <c r="F275" s="76"/>
    </row>
    <row r="276" spans="6:6" ht="13.2" x14ac:dyDescent="0.25">
      <c r="F276" s="76"/>
    </row>
    <row r="277" spans="6:6" ht="13.2" x14ac:dyDescent="0.25">
      <c r="F277" s="76"/>
    </row>
    <row r="278" spans="6:6" ht="13.2" x14ac:dyDescent="0.25">
      <c r="F278" s="76"/>
    </row>
    <row r="279" spans="6:6" ht="13.2" x14ac:dyDescent="0.25">
      <c r="F279" s="76"/>
    </row>
    <row r="280" spans="6:6" ht="13.2" x14ac:dyDescent="0.25">
      <c r="F280" s="76"/>
    </row>
    <row r="281" spans="6:6" ht="13.2" x14ac:dyDescent="0.25">
      <c r="F281" s="76"/>
    </row>
    <row r="282" spans="6:6" ht="13.2" x14ac:dyDescent="0.25">
      <c r="F282" s="76"/>
    </row>
    <row r="283" spans="6:6" ht="13.2" x14ac:dyDescent="0.25">
      <c r="F283" s="76"/>
    </row>
    <row r="284" spans="6:6" ht="13.2" x14ac:dyDescent="0.25">
      <c r="F284" s="76"/>
    </row>
    <row r="285" spans="6:6" ht="13.2" x14ac:dyDescent="0.25">
      <c r="F285" s="76"/>
    </row>
    <row r="286" spans="6:6" ht="13.2" x14ac:dyDescent="0.25">
      <c r="F286" s="76"/>
    </row>
    <row r="287" spans="6:6" ht="13.2" x14ac:dyDescent="0.25">
      <c r="F287" s="76"/>
    </row>
    <row r="288" spans="6:6" ht="13.2" x14ac:dyDescent="0.25">
      <c r="F288" s="76"/>
    </row>
    <row r="289" spans="6:6" ht="13.2" x14ac:dyDescent="0.25">
      <c r="F289" s="76"/>
    </row>
    <row r="290" spans="6:6" ht="13.2" x14ac:dyDescent="0.25">
      <c r="F290" s="76"/>
    </row>
    <row r="291" spans="6:6" ht="13.2" x14ac:dyDescent="0.25">
      <c r="F291" s="76"/>
    </row>
    <row r="292" spans="6:6" ht="13.2" x14ac:dyDescent="0.25">
      <c r="F292" s="76"/>
    </row>
    <row r="293" spans="6:6" ht="13.2" x14ac:dyDescent="0.25">
      <c r="F293" s="76"/>
    </row>
    <row r="294" spans="6:6" ht="13.2" x14ac:dyDescent="0.25">
      <c r="F294" s="76"/>
    </row>
    <row r="295" spans="6:6" ht="13.2" x14ac:dyDescent="0.25">
      <c r="F295" s="76"/>
    </row>
    <row r="296" spans="6:6" ht="13.2" x14ac:dyDescent="0.25">
      <c r="F296" s="76"/>
    </row>
    <row r="297" spans="6:6" ht="13.2" x14ac:dyDescent="0.25">
      <c r="F297" s="76"/>
    </row>
    <row r="298" spans="6:6" ht="13.2" x14ac:dyDescent="0.25">
      <c r="F298" s="76"/>
    </row>
    <row r="299" spans="6:6" ht="13.2" x14ac:dyDescent="0.25">
      <c r="F299" s="76"/>
    </row>
    <row r="300" spans="6:6" ht="13.2" x14ac:dyDescent="0.25">
      <c r="F300" s="76"/>
    </row>
    <row r="301" spans="6:6" ht="13.2" x14ac:dyDescent="0.25">
      <c r="F301" s="76"/>
    </row>
    <row r="302" spans="6:6" ht="13.2" x14ac:dyDescent="0.25">
      <c r="F302" s="76"/>
    </row>
    <row r="303" spans="6:6" ht="13.2" x14ac:dyDescent="0.25">
      <c r="F303" s="76"/>
    </row>
    <row r="304" spans="6:6" ht="13.2" x14ac:dyDescent="0.25">
      <c r="F304" s="76"/>
    </row>
    <row r="305" spans="6:6" ht="13.2" x14ac:dyDescent="0.25">
      <c r="F305" s="76"/>
    </row>
    <row r="306" spans="6:6" ht="13.2" x14ac:dyDescent="0.25">
      <c r="F306" s="76"/>
    </row>
    <row r="307" spans="6:6" ht="13.2" x14ac:dyDescent="0.25">
      <c r="F307" s="76"/>
    </row>
    <row r="308" spans="6:6" ht="13.2" x14ac:dyDescent="0.25">
      <c r="F308" s="76"/>
    </row>
    <row r="309" spans="6:6" ht="13.2" x14ac:dyDescent="0.25">
      <c r="F309" s="76"/>
    </row>
    <row r="310" spans="6:6" ht="13.2" x14ac:dyDescent="0.25">
      <c r="F310" s="76"/>
    </row>
    <row r="311" spans="6:6" ht="13.2" x14ac:dyDescent="0.25">
      <c r="F311" s="76"/>
    </row>
    <row r="312" spans="6:6" ht="13.2" x14ac:dyDescent="0.25">
      <c r="F312" s="76"/>
    </row>
    <row r="313" spans="6:6" ht="13.2" x14ac:dyDescent="0.25">
      <c r="F313" s="76"/>
    </row>
    <row r="314" spans="6:6" ht="13.2" x14ac:dyDescent="0.25">
      <c r="F314" s="76"/>
    </row>
    <row r="315" spans="6:6" ht="13.2" x14ac:dyDescent="0.25">
      <c r="F315" s="76"/>
    </row>
    <row r="316" spans="6:6" ht="13.2" x14ac:dyDescent="0.25">
      <c r="F316" s="76"/>
    </row>
    <row r="317" spans="6:6" ht="13.2" x14ac:dyDescent="0.25">
      <c r="F317" s="76"/>
    </row>
    <row r="318" spans="6:6" ht="13.2" x14ac:dyDescent="0.25">
      <c r="F318" s="76"/>
    </row>
    <row r="319" spans="6:6" ht="13.2" x14ac:dyDescent="0.25">
      <c r="F319" s="76"/>
    </row>
    <row r="320" spans="6:6" ht="13.2" x14ac:dyDescent="0.25">
      <c r="F320" s="76"/>
    </row>
    <row r="321" spans="6:6" ht="13.2" x14ac:dyDescent="0.25">
      <c r="F321" s="76"/>
    </row>
    <row r="322" spans="6:6" ht="13.2" x14ac:dyDescent="0.25">
      <c r="F322" s="76"/>
    </row>
    <row r="323" spans="6:6" ht="13.2" x14ac:dyDescent="0.25">
      <c r="F323" s="76"/>
    </row>
    <row r="324" spans="6:6" ht="13.2" x14ac:dyDescent="0.25">
      <c r="F324" s="76"/>
    </row>
    <row r="325" spans="6:6" ht="13.2" x14ac:dyDescent="0.25">
      <c r="F325" s="76"/>
    </row>
    <row r="326" spans="6:6" ht="13.2" x14ac:dyDescent="0.25">
      <c r="F326" s="76"/>
    </row>
    <row r="327" spans="6:6" ht="13.2" x14ac:dyDescent="0.25">
      <c r="F327" s="76"/>
    </row>
    <row r="328" spans="6:6" ht="13.2" x14ac:dyDescent="0.25">
      <c r="F328" s="76"/>
    </row>
    <row r="329" spans="6:6" ht="13.2" x14ac:dyDescent="0.25">
      <c r="F329" s="76"/>
    </row>
    <row r="330" spans="6:6" ht="13.2" x14ac:dyDescent="0.25">
      <c r="F330" s="76"/>
    </row>
    <row r="331" spans="6:6" ht="13.2" x14ac:dyDescent="0.25">
      <c r="F331" s="76"/>
    </row>
    <row r="332" spans="6:6" ht="13.2" x14ac:dyDescent="0.25">
      <c r="F332" s="76"/>
    </row>
    <row r="333" spans="6:6" ht="13.2" x14ac:dyDescent="0.25">
      <c r="F333" s="76"/>
    </row>
    <row r="334" spans="6:6" ht="13.2" x14ac:dyDescent="0.25">
      <c r="F334" s="76"/>
    </row>
    <row r="335" spans="6:6" ht="13.2" x14ac:dyDescent="0.25">
      <c r="F335" s="76"/>
    </row>
    <row r="336" spans="6:6" ht="13.2" x14ac:dyDescent="0.25">
      <c r="F336" s="76"/>
    </row>
    <row r="337" spans="6:6" ht="13.2" x14ac:dyDescent="0.25">
      <c r="F337" s="76"/>
    </row>
    <row r="338" spans="6:6" ht="13.2" x14ac:dyDescent="0.25">
      <c r="F338" s="76"/>
    </row>
    <row r="339" spans="6:6" ht="13.2" x14ac:dyDescent="0.25">
      <c r="F339" s="76"/>
    </row>
    <row r="340" spans="6:6" ht="13.2" x14ac:dyDescent="0.25">
      <c r="F340" s="76"/>
    </row>
    <row r="341" spans="6:6" ht="13.2" x14ac:dyDescent="0.25">
      <c r="F341" s="76"/>
    </row>
    <row r="342" spans="6:6" ht="13.2" x14ac:dyDescent="0.25">
      <c r="F342" s="76"/>
    </row>
    <row r="343" spans="6:6" ht="13.2" x14ac:dyDescent="0.25">
      <c r="F343" s="76"/>
    </row>
    <row r="344" spans="6:6" ht="13.2" x14ac:dyDescent="0.25">
      <c r="F344" s="76"/>
    </row>
    <row r="345" spans="6:6" ht="13.2" x14ac:dyDescent="0.25">
      <c r="F345" s="76"/>
    </row>
    <row r="346" spans="6:6" ht="13.2" x14ac:dyDescent="0.25">
      <c r="F346" s="76"/>
    </row>
    <row r="347" spans="6:6" ht="13.2" x14ac:dyDescent="0.25">
      <c r="F347" s="76"/>
    </row>
    <row r="348" spans="6:6" ht="13.2" x14ac:dyDescent="0.25">
      <c r="F348" s="76"/>
    </row>
    <row r="349" spans="6:6" ht="13.2" x14ac:dyDescent="0.25">
      <c r="F349" s="76"/>
    </row>
    <row r="350" spans="6:6" ht="13.2" x14ac:dyDescent="0.25">
      <c r="F350" s="76"/>
    </row>
    <row r="351" spans="6:6" ht="13.2" x14ac:dyDescent="0.25">
      <c r="F351" s="76"/>
    </row>
    <row r="352" spans="6:6" ht="13.2" x14ac:dyDescent="0.25">
      <c r="F352" s="76"/>
    </row>
    <row r="353" spans="6:6" ht="13.2" x14ac:dyDescent="0.25">
      <c r="F353" s="76"/>
    </row>
    <row r="354" spans="6:6" ht="13.2" x14ac:dyDescent="0.25">
      <c r="F354" s="76"/>
    </row>
    <row r="355" spans="6:6" ht="13.2" x14ac:dyDescent="0.25">
      <c r="F355" s="76"/>
    </row>
    <row r="356" spans="6:6" ht="13.2" x14ac:dyDescent="0.25">
      <c r="F356" s="76"/>
    </row>
    <row r="357" spans="6:6" ht="13.2" x14ac:dyDescent="0.25">
      <c r="F357" s="76"/>
    </row>
    <row r="358" spans="6:6" ht="13.2" x14ac:dyDescent="0.25">
      <c r="F358" s="76"/>
    </row>
    <row r="359" spans="6:6" ht="13.2" x14ac:dyDescent="0.25">
      <c r="F359" s="76"/>
    </row>
    <row r="360" spans="6:6" ht="13.2" x14ac:dyDescent="0.25">
      <c r="F360" s="76"/>
    </row>
    <row r="361" spans="6:6" ht="13.2" x14ac:dyDescent="0.25">
      <c r="F361" s="76"/>
    </row>
    <row r="362" spans="6:6" ht="13.2" x14ac:dyDescent="0.25">
      <c r="F362" s="76"/>
    </row>
    <row r="363" spans="6:6" ht="13.2" x14ac:dyDescent="0.25">
      <c r="F363" s="76"/>
    </row>
    <row r="364" spans="6:6" ht="13.2" x14ac:dyDescent="0.25">
      <c r="F364" s="76"/>
    </row>
    <row r="365" spans="6:6" ht="13.2" x14ac:dyDescent="0.25">
      <c r="F365" s="76"/>
    </row>
    <row r="366" spans="6:6" ht="13.2" x14ac:dyDescent="0.25">
      <c r="F366" s="76"/>
    </row>
    <row r="367" spans="6:6" ht="13.2" x14ac:dyDescent="0.25">
      <c r="F367" s="76"/>
    </row>
    <row r="368" spans="6:6" ht="13.2" x14ac:dyDescent="0.25">
      <c r="F368" s="76"/>
    </row>
    <row r="369" spans="6:6" ht="13.2" x14ac:dyDescent="0.25">
      <c r="F369" s="76"/>
    </row>
    <row r="370" spans="6:6" ht="13.2" x14ac:dyDescent="0.25">
      <c r="F370" s="76"/>
    </row>
    <row r="371" spans="6:6" ht="13.2" x14ac:dyDescent="0.25">
      <c r="F371" s="76"/>
    </row>
    <row r="372" spans="6:6" ht="13.2" x14ac:dyDescent="0.25">
      <c r="F372" s="76"/>
    </row>
    <row r="373" spans="6:6" ht="13.2" x14ac:dyDescent="0.25">
      <c r="F373" s="76"/>
    </row>
    <row r="374" spans="6:6" ht="13.2" x14ac:dyDescent="0.25">
      <c r="F374" s="76"/>
    </row>
    <row r="375" spans="6:6" ht="13.2" x14ac:dyDescent="0.25">
      <c r="F375" s="76"/>
    </row>
    <row r="376" spans="6:6" ht="13.2" x14ac:dyDescent="0.25">
      <c r="F376" s="76"/>
    </row>
    <row r="377" spans="6:6" ht="13.2" x14ac:dyDescent="0.25">
      <c r="F377" s="76"/>
    </row>
    <row r="378" spans="6:6" ht="13.2" x14ac:dyDescent="0.25">
      <c r="F378" s="76"/>
    </row>
    <row r="379" spans="6:6" ht="13.2" x14ac:dyDescent="0.25">
      <c r="F379" s="76"/>
    </row>
    <row r="380" spans="6:6" ht="13.2" x14ac:dyDescent="0.25">
      <c r="F380" s="76"/>
    </row>
    <row r="381" spans="6:6" ht="13.2" x14ac:dyDescent="0.25">
      <c r="F381" s="76"/>
    </row>
    <row r="382" spans="6:6" ht="13.2" x14ac:dyDescent="0.25">
      <c r="F382" s="76"/>
    </row>
    <row r="383" spans="6:6" ht="13.2" x14ac:dyDescent="0.25">
      <c r="F383" s="76"/>
    </row>
    <row r="384" spans="6:6" ht="13.2" x14ac:dyDescent="0.25">
      <c r="F384" s="76"/>
    </row>
    <row r="385" spans="6:6" ht="13.2" x14ac:dyDescent="0.25">
      <c r="F385" s="76"/>
    </row>
    <row r="386" spans="6:6" ht="13.2" x14ac:dyDescent="0.25">
      <c r="F386" s="76"/>
    </row>
    <row r="387" spans="6:6" ht="13.2" x14ac:dyDescent="0.25">
      <c r="F387" s="76"/>
    </row>
    <row r="388" spans="6:6" ht="13.2" x14ac:dyDescent="0.25">
      <c r="F388" s="76"/>
    </row>
    <row r="389" spans="6:6" ht="13.2" x14ac:dyDescent="0.25">
      <c r="F389" s="76"/>
    </row>
    <row r="390" spans="6:6" ht="13.2" x14ac:dyDescent="0.25">
      <c r="F390" s="76"/>
    </row>
    <row r="391" spans="6:6" ht="13.2" x14ac:dyDescent="0.25">
      <c r="F391" s="76"/>
    </row>
    <row r="392" spans="6:6" ht="13.2" x14ac:dyDescent="0.25">
      <c r="F392" s="76"/>
    </row>
    <row r="393" spans="6:6" ht="13.2" x14ac:dyDescent="0.25">
      <c r="F393" s="76"/>
    </row>
    <row r="394" spans="6:6" ht="13.2" x14ac:dyDescent="0.25">
      <c r="F394" s="76"/>
    </row>
    <row r="395" spans="6:6" ht="13.2" x14ac:dyDescent="0.25">
      <c r="F395" s="76"/>
    </row>
    <row r="396" spans="6:6" ht="13.2" x14ac:dyDescent="0.25">
      <c r="F396" s="76"/>
    </row>
    <row r="397" spans="6:6" ht="13.2" x14ac:dyDescent="0.25">
      <c r="F397" s="76"/>
    </row>
    <row r="398" spans="6:6" ht="13.2" x14ac:dyDescent="0.25">
      <c r="F398" s="76"/>
    </row>
    <row r="399" spans="6:6" ht="13.2" x14ac:dyDescent="0.25">
      <c r="F399" s="76"/>
    </row>
    <row r="400" spans="6:6" ht="13.2" x14ac:dyDescent="0.25">
      <c r="F400" s="76"/>
    </row>
    <row r="401" spans="6:6" ht="13.2" x14ac:dyDescent="0.25">
      <c r="F401" s="76"/>
    </row>
    <row r="402" spans="6:6" ht="13.2" x14ac:dyDescent="0.25">
      <c r="F402" s="76"/>
    </row>
    <row r="403" spans="6:6" ht="13.2" x14ac:dyDescent="0.25">
      <c r="F403" s="76"/>
    </row>
    <row r="404" spans="6:6" ht="13.2" x14ac:dyDescent="0.25">
      <c r="F404" s="76"/>
    </row>
    <row r="405" spans="6:6" ht="13.2" x14ac:dyDescent="0.25">
      <c r="F405" s="76"/>
    </row>
    <row r="406" spans="6:6" ht="13.2" x14ac:dyDescent="0.25">
      <c r="F406" s="76"/>
    </row>
    <row r="407" spans="6:6" ht="13.2" x14ac:dyDescent="0.25">
      <c r="F407" s="76"/>
    </row>
    <row r="408" spans="6:6" ht="13.2" x14ac:dyDescent="0.25">
      <c r="F408" s="76"/>
    </row>
    <row r="409" spans="6:6" ht="13.2" x14ac:dyDescent="0.25">
      <c r="F409" s="76"/>
    </row>
    <row r="410" spans="6:6" ht="13.2" x14ac:dyDescent="0.25">
      <c r="F410" s="76"/>
    </row>
    <row r="411" spans="6:6" ht="13.2" x14ac:dyDescent="0.25">
      <c r="F411" s="76"/>
    </row>
    <row r="412" spans="6:6" ht="13.2" x14ac:dyDescent="0.25">
      <c r="F412" s="76"/>
    </row>
    <row r="413" spans="6:6" ht="13.2" x14ac:dyDescent="0.25">
      <c r="F413" s="76"/>
    </row>
    <row r="414" spans="6:6" ht="13.2" x14ac:dyDescent="0.25">
      <c r="F414" s="76"/>
    </row>
    <row r="415" spans="6:6" ht="13.2" x14ac:dyDescent="0.25">
      <c r="F415" s="76"/>
    </row>
    <row r="416" spans="6:6" ht="13.2" x14ac:dyDescent="0.25">
      <c r="F416" s="76"/>
    </row>
    <row r="417" spans="6:6" ht="13.2" x14ac:dyDescent="0.25">
      <c r="F417" s="76"/>
    </row>
    <row r="418" spans="6:6" ht="13.2" x14ac:dyDescent="0.25">
      <c r="F418" s="76"/>
    </row>
    <row r="419" spans="6:6" ht="13.2" x14ac:dyDescent="0.25">
      <c r="F419" s="76"/>
    </row>
    <row r="420" spans="6:6" ht="13.2" x14ac:dyDescent="0.25">
      <c r="F420" s="76"/>
    </row>
    <row r="421" spans="6:6" ht="13.2" x14ac:dyDescent="0.25">
      <c r="F421" s="76"/>
    </row>
    <row r="422" spans="6:6" ht="13.2" x14ac:dyDescent="0.25">
      <c r="F422" s="76"/>
    </row>
    <row r="423" spans="6:6" ht="13.2" x14ac:dyDescent="0.25">
      <c r="F423" s="76"/>
    </row>
    <row r="424" spans="6:6" ht="13.2" x14ac:dyDescent="0.25">
      <c r="F424" s="76"/>
    </row>
    <row r="425" spans="6:6" ht="13.2" x14ac:dyDescent="0.25">
      <c r="F425" s="76"/>
    </row>
    <row r="426" spans="6:6" ht="13.2" x14ac:dyDescent="0.25">
      <c r="F426" s="76"/>
    </row>
    <row r="427" spans="6:6" ht="13.2" x14ac:dyDescent="0.25">
      <c r="F427" s="76"/>
    </row>
    <row r="428" spans="6:6" ht="13.2" x14ac:dyDescent="0.25">
      <c r="F428" s="76"/>
    </row>
    <row r="429" spans="6:6" ht="13.2" x14ac:dyDescent="0.25">
      <c r="F429" s="76"/>
    </row>
    <row r="430" spans="6:6" ht="13.2" x14ac:dyDescent="0.25">
      <c r="F430" s="76"/>
    </row>
    <row r="431" spans="6:6" ht="13.2" x14ac:dyDescent="0.25">
      <c r="F431" s="76"/>
    </row>
    <row r="432" spans="6:6" ht="13.2" x14ac:dyDescent="0.25">
      <c r="F432" s="76"/>
    </row>
    <row r="433" spans="6:6" ht="13.2" x14ac:dyDescent="0.25">
      <c r="F433" s="76"/>
    </row>
    <row r="434" spans="6:6" ht="13.2" x14ac:dyDescent="0.25">
      <c r="F434" s="76"/>
    </row>
    <row r="435" spans="6:6" ht="13.2" x14ac:dyDescent="0.25">
      <c r="F435" s="76"/>
    </row>
    <row r="436" spans="6:6" ht="13.2" x14ac:dyDescent="0.25">
      <c r="F436" s="76"/>
    </row>
    <row r="437" spans="6:6" ht="13.2" x14ac:dyDescent="0.25">
      <c r="F437" s="76"/>
    </row>
    <row r="438" spans="6:6" ht="13.2" x14ac:dyDescent="0.25">
      <c r="F438" s="76"/>
    </row>
    <row r="439" spans="6:6" ht="13.2" x14ac:dyDescent="0.25">
      <c r="F439" s="76"/>
    </row>
    <row r="440" spans="6:6" ht="13.2" x14ac:dyDescent="0.25">
      <c r="F440" s="76"/>
    </row>
    <row r="441" spans="6:6" ht="13.2" x14ac:dyDescent="0.25">
      <c r="F441" s="76"/>
    </row>
    <row r="442" spans="6:6" ht="13.2" x14ac:dyDescent="0.25">
      <c r="F442" s="76"/>
    </row>
    <row r="443" spans="6:6" ht="13.2" x14ac:dyDescent="0.25">
      <c r="F443" s="76"/>
    </row>
    <row r="444" spans="6:6" ht="13.2" x14ac:dyDescent="0.25">
      <c r="F444" s="76"/>
    </row>
    <row r="445" spans="6:6" ht="13.2" x14ac:dyDescent="0.25">
      <c r="F445" s="76"/>
    </row>
    <row r="446" spans="6:6" ht="13.2" x14ac:dyDescent="0.25">
      <c r="F446" s="76"/>
    </row>
    <row r="447" spans="6:6" ht="13.2" x14ac:dyDescent="0.25">
      <c r="F447" s="76"/>
    </row>
    <row r="448" spans="6:6" ht="13.2" x14ac:dyDescent="0.25">
      <c r="F448" s="76"/>
    </row>
    <row r="449" spans="6:6" ht="13.2" x14ac:dyDescent="0.25">
      <c r="F449" s="76"/>
    </row>
    <row r="450" spans="6:6" ht="13.2" x14ac:dyDescent="0.25">
      <c r="F450" s="76"/>
    </row>
    <row r="451" spans="6:6" ht="13.2" x14ac:dyDescent="0.25">
      <c r="F451" s="76"/>
    </row>
    <row r="452" spans="6:6" ht="13.2" x14ac:dyDescent="0.25">
      <c r="F452" s="76"/>
    </row>
    <row r="453" spans="6:6" ht="13.2" x14ac:dyDescent="0.25">
      <c r="F453" s="76"/>
    </row>
    <row r="454" spans="6:6" ht="13.2" x14ac:dyDescent="0.25">
      <c r="F454" s="76"/>
    </row>
    <row r="455" spans="6:6" ht="13.2" x14ac:dyDescent="0.25">
      <c r="F455" s="76"/>
    </row>
    <row r="456" spans="6:6" ht="13.2" x14ac:dyDescent="0.25">
      <c r="F456" s="76"/>
    </row>
    <row r="457" spans="6:6" ht="13.2" x14ac:dyDescent="0.25">
      <c r="F457" s="76"/>
    </row>
    <row r="458" spans="6:6" ht="13.2" x14ac:dyDescent="0.25">
      <c r="F458" s="76"/>
    </row>
    <row r="459" spans="6:6" ht="13.2" x14ac:dyDescent="0.25">
      <c r="F459" s="76"/>
    </row>
    <row r="460" spans="6:6" ht="13.2" x14ac:dyDescent="0.25">
      <c r="F460" s="76"/>
    </row>
    <row r="461" spans="6:6" ht="13.2" x14ac:dyDescent="0.25">
      <c r="F461" s="76"/>
    </row>
    <row r="462" spans="6:6" ht="13.2" x14ac:dyDescent="0.25">
      <c r="F462" s="76"/>
    </row>
    <row r="463" spans="6:6" ht="13.2" x14ac:dyDescent="0.25">
      <c r="F463" s="76"/>
    </row>
    <row r="464" spans="6:6" ht="13.2" x14ac:dyDescent="0.25">
      <c r="F464" s="76"/>
    </row>
    <row r="465" spans="6:6" ht="13.2" x14ac:dyDescent="0.25">
      <c r="F465" s="76"/>
    </row>
    <row r="466" spans="6:6" ht="13.2" x14ac:dyDescent="0.25">
      <c r="F466" s="76"/>
    </row>
    <row r="467" spans="6:6" ht="13.2" x14ac:dyDescent="0.25">
      <c r="F467" s="76"/>
    </row>
    <row r="468" spans="6:6" ht="13.2" x14ac:dyDescent="0.25">
      <c r="F468" s="76"/>
    </row>
    <row r="469" spans="6:6" ht="13.2" x14ac:dyDescent="0.25">
      <c r="F469" s="76"/>
    </row>
    <row r="470" spans="6:6" ht="13.2" x14ac:dyDescent="0.25">
      <c r="F470" s="76"/>
    </row>
    <row r="471" spans="6:6" ht="13.2" x14ac:dyDescent="0.25">
      <c r="F471" s="76"/>
    </row>
    <row r="472" spans="6:6" ht="13.2" x14ac:dyDescent="0.25">
      <c r="F472" s="76"/>
    </row>
    <row r="473" spans="6:6" ht="13.2" x14ac:dyDescent="0.25">
      <c r="F473" s="76"/>
    </row>
    <row r="474" spans="6:6" ht="13.2" x14ac:dyDescent="0.25">
      <c r="F474" s="76"/>
    </row>
    <row r="475" spans="6:6" ht="13.2" x14ac:dyDescent="0.25">
      <c r="F475" s="76"/>
    </row>
    <row r="476" spans="6:6" ht="13.2" x14ac:dyDescent="0.25">
      <c r="F476" s="76"/>
    </row>
    <row r="477" spans="6:6" ht="13.2" x14ac:dyDescent="0.25">
      <c r="F477" s="76"/>
    </row>
    <row r="478" spans="6:6" ht="13.2" x14ac:dyDescent="0.25">
      <c r="F478" s="76"/>
    </row>
    <row r="479" spans="6:6" ht="13.2" x14ac:dyDescent="0.25">
      <c r="F479" s="76"/>
    </row>
    <row r="480" spans="6:6" ht="13.2" x14ac:dyDescent="0.25">
      <c r="F480" s="76"/>
    </row>
    <row r="481" spans="6:6" ht="13.2" x14ac:dyDescent="0.25">
      <c r="F481" s="76"/>
    </row>
    <row r="482" spans="6:6" ht="13.2" x14ac:dyDescent="0.25">
      <c r="F482" s="76"/>
    </row>
    <row r="483" spans="6:6" ht="13.2" x14ac:dyDescent="0.25">
      <c r="F483" s="76"/>
    </row>
    <row r="484" spans="6:6" ht="13.2" x14ac:dyDescent="0.25">
      <c r="F484" s="76"/>
    </row>
    <row r="485" spans="6:6" ht="13.2" x14ac:dyDescent="0.25">
      <c r="F485" s="76"/>
    </row>
    <row r="486" spans="6:6" ht="13.2" x14ac:dyDescent="0.25">
      <c r="F486" s="76"/>
    </row>
    <row r="487" spans="6:6" ht="13.2" x14ac:dyDescent="0.25">
      <c r="F487" s="76"/>
    </row>
    <row r="488" spans="6:6" ht="13.2" x14ac:dyDescent="0.25">
      <c r="F488" s="76"/>
    </row>
    <row r="489" spans="6:6" ht="13.2" x14ac:dyDescent="0.25">
      <c r="F489" s="76"/>
    </row>
    <row r="490" spans="6:6" ht="13.2" x14ac:dyDescent="0.25">
      <c r="F490" s="76"/>
    </row>
    <row r="491" spans="6:6" ht="13.2" x14ac:dyDescent="0.25">
      <c r="F491" s="76"/>
    </row>
    <row r="492" spans="6:6" ht="13.2" x14ac:dyDescent="0.25">
      <c r="F492" s="76"/>
    </row>
    <row r="493" spans="6:6" ht="13.2" x14ac:dyDescent="0.25">
      <c r="F493" s="76"/>
    </row>
    <row r="494" spans="6:6" ht="13.2" x14ac:dyDescent="0.25">
      <c r="F494" s="76"/>
    </row>
    <row r="495" spans="6:6" ht="13.2" x14ac:dyDescent="0.25">
      <c r="F495" s="76"/>
    </row>
    <row r="496" spans="6:6" ht="13.2" x14ac:dyDescent="0.25">
      <c r="F496" s="76"/>
    </row>
    <row r="497" spans="6:6" ht="13.2" x14ac:dyDescent="0.25">
      <c r="F497" s="76"/>
    </row>
    <row r="498" spans="6:6" ht="13.2" x14ac:dyDescent="0.25">
      <c r="F498" s="76"/>
    </row>
    <row r="499" spans="6:6" ht="13.2" x14ac:dyDescent="0.25">
      <c r="F499" s="76"/>
    </row>
    <row r="500" spans="6:6" ht="13.2" x14ac:dyDescent="0.25">
      <c r="F500" s="76"/>
    </row>
    <row r="501" spans="6:6" ht="13.2" x14ac:dyDescent="0.25">
      <c r="F501" s="76"/>
    </row>
    <row r="502" spans="6:6" ht="13.2" x14ac:dyDescent="0.25">
      <c r="F502" s="76"/>
    </row>
    <row r="503" spans="6:6" ht="13.2" x14ac:dyDescent="0.25">
      <c r="F503" s="76"/>
    </row>
    <row r="504" spans="6:6" ht="13.2" x14ac:dyDescent="0.25">
      <c r="F504" s="76"/>
    </row>
    <row r="505" spans="6:6" ht="13.2" x14ac:dyDescent="0.25">
      <c r="F505" s="76"/>
    </row>
    <row r="506" spans="6:6" ht="13.2" x14ac:dyDescent="0.25">
      <c r="F506" s="76"/>
    </row>
    <row r="507" spans="6:6" ht="13.2" x14ac:dyDescent="0.25">
      <c r="F507" s="76"/>
    </row>
    <row r="508" spans="6:6" ht="13.2" x14ac:dyDescent="0.25">
      <c r="F508" s="76"/>
    </row>
    <row r="509" spans="6:6" ht="13.2" x14ac:dyDescent="0.25">
      <c r="F509" s="76"/>
    </row>
    <row r="510" spans="6:6" ht="13.2" x14ac:dyDescent="0.25">
      <c r="F510" s="76"/>
    </row>
    <row r="511" spans="6:6" ht="13.2" x14ac:dyDescent="0.25">
      <c r="F511" s="76"/>
    </row>
    <row r="512" spans="6:6" ht="13.2" x14ac:dyDescent="0.25">
      <c r="F512" s="76"/>
    </row>
    <row r="513" spans="6:6" ht="13.2" x14ac:dyDescent="0.25">
      <c r="F513" s="76"/>
    </row>
    <row r="514" spans="6:6" ht="13.2" x14ac:dyDescent="0.25">
      <c r="F514" s="76"/>
    </row>
    <row r="515" spans="6:6" ht="13.2" x14ac:dyDescent="0.25">
      <c r="F515" s="76"/>
    </row>
    <row r="516" spans="6:6" ht="13.2" x14ac:dyDescent="0.25">
      <c r="F516" s="76"/>
    </row>
    <row r="517" spans="6:6" ht="13.2" x14ac:dyDescent="0.25">
      <c r="F517" s="76"/>
    </row>
    <row r="518" spans="6:6" ht="13.2" x14ac:dyDescent="0.25">
      <c r="F518" s="76"/>
    </row>
    <row r="519" spans="6:6" ht="13.2" x14ac:dyDescent="0.25">
      <c r="F519" s="76"/>
    </row>
    <row r="520" spans="6:6" ht="13.2" x14ac:dyDescent="0.25">
      <c r="F520" s="76"/>
    </row>
    <row r="521" spans="6:6" ht="13.2" x14ac:dyDescent="0.25">
      <c r="F521" s="76"/>
    </row>
    <row r="522" spans="6:6" ht="13.2" x14ac:dyDescent="0.25">
      <c r="F522" s="76"/>
    </row>
    <row r="523" spans="6:6" ht="13.2" x14ac:dyDescent="0.25">
      <c r="F523" s="76"/>
    </row>
    <row r="524" spans="6:6" ht="13.2" x14ac:dyDescent="0.25">
      <c r="F524" s="76"/>
    </row>
    <row r="525" spans="6:6" ht="13.2" x14ac:dyDescent="0.25">
      <c r="F525" s="76"/>
    </row>
    <row r="526" spans="6:6" ht="13.2" x14ac:dyDescent="0.25">
      <c r="F526" s="76"/>
    </row>
    <row r="527" spans="6:6" ht="13.2" x14ac:dyDescent="0.25">
      <c r="F527" s="76"/>
    </row>
    <row r="528" spans="6:6" ht="13.2" x14ac:dyDescent="0.25">
      <c r="F528" s="76"/>
    </row>
    <row r="529" spans="6:6" ht="13.2" x14ac:dyDescent="0.25">
      <c r="F529" s="76"/>
    </row>
    <row r="530" spans="6:6" ht="13.2" x14ac:dyDescent="0.25">
      <c r="F530" s="76"/>
    </row>
    <row r="531" spans="6:6" ht="13.2" x14ac:dyDescent="0.25">
      <c r="F531" s="76"/>
    </row>
    <row r="532" spans="6:6" ht="13.2" x14ac:dyDescent="0.25">
      <c r="F532" s="76"/>
    </row>
    <row r="533" spans="6:6" ht="13.2" x14ac:dyDescent="0.25">
      <c r="F533" s="76"/>
    </row>
    <row r="534" spans="6:6" ht="13.2" x14ac:dyDescent="0.25">
      <c r="F534" s="76"/>
    </row>
    <row r="535" spans="6:6" ht="13.2" x14ac:dyDescent="0.25">
      <c r="F535" s="76"/>
    </row>
    <row r="536" spans="6:6" ht="13.2" x14ac:dyDescent="0.25">
      <c r="F536" s="76"/>
    </row>
    <row r="537" spans="6:6" ht="13.2" x14ac:dyDescent="0.25">
      <c r="F537" s="76"/>
    </row>
    <row r="538" spans="6:6" ht="13.2" x14ac:dyDescent="0.25">
      <c r="F538" s="76"/>
    </row>
    <row r="539" spans="6:6" ht="13.2" x14ac:dyDescent="0.25">
      <c r="F539" s="76"/>
    </row>
    <row r="540" spans="6:6" ht="13.2" x14ac:dyDescent="0.25">
      <c r="F540" s="76"/>
    </row>
    <row r="541" spans="6:6" ht="13.2" x14ac:dyDescent="0.25">
      <c r="F541" s="76"/>
    </row>
    <row r="542" spans="6:6" ht="13.2" x14ac:dyDescent="0.25">
      <c r="F542" s="76"/>
    </row>
    <row r="543" spans="6:6" ht="13.2" x14ac:dyDescent="0.25">
      <c r="F543" s="76"/>
    </row>
    <row r="544" spans="6:6" ht="13.2" x14ac:dyDescent="0.25">
      <c r="F544" s="76"/>
    </row>
    <row r="545" spans="6:6" ht="13.2" x14ac:dyDescent="0.25">
      <c r="F545" s="76"/>
    </row>
    <row r="546" spans="6:6" ht="13.2" x14ac:dyDescent="0.25">
      <c r="F546" s="76"/>
    </row>
    <row r="547" spans="6:6" ht="13.2" x14ac:dyDescent="0.25">
      <c r="F547" s="76"/>
    </row>
    <row r="548" spans="6:6" ht="13.2" x14ac:dyDescent="0.25">
      <c r="F548" s="76"/>
    </row>
    <row r="549" spans="6:6" ht="13.2" x14ac:dyDescent="0.25">
      <c r="F549" s="76"/>
    </row>
    <row r="550" spans="6:6" ht="13.2" x14ac:dyDescent="0.25">
      <c r="F550" s="76"/>
    </row>
    <row r="551" spans="6:6" ht="13.2" x14ac:dyDescent="0.25">
      <c r="F551" s="76"/>
    </row>
    <row r="552" spans="6:6" ht="13.2" x14ac:dyDescent="0.25">
      <c r="F552" s="76"/>
    </row>
    <row r="553" spans="6:6" ht="13.2" x14ac:dyDescent="0.25">
      <c r="F553" s="76"/>
    </row>
    <row r="554" spans="6:6" ht="13.2" x14ac:dyDescent="0.25">
      <c r="F554" s="76"/>
    </row>
    <row r="555" spans="6:6" ht="13.2" x14ac:dyDescent="0.25">
      <c r="F555" s="76"/>
    </row>
    <row r="556" spans="6:6" ht="13.2" x14ac:dyDescent="0.25">
      <c r="F556" s="76"/>
    </row>
    <row r="557" spans="6:6" ht="13.2" x14ac:dyDescent="0.25">
      <c r="F557" s="76"/>
    </row>
    <row r="558" spans="6:6" ht="13.2" x14ac:dyDescent="0.25">
      <c r="F558" s="76"/>
    </row>
    <row r="559" spans="6:6" ht="13.2" x14ac:dyDescent="0.25">
      <c r="F559" s="76"/>
    </row>
    <row r="560" spans="6:6" ht="13.2" x14ac:dyDescent="0.25">
      <c r="F560" s="76"/>
    </row>
    <row r="561" spans="6:6" ht="13.2" x14ac:dyDescent="0.25">
      <c r="F561" s="76"/>
    </row>
    <row r="562" spans="6:6" ht="13.2" x14ac:dyDescent="0.25">
      <c r="F562" s="76"/>
    </row>
    <row r="563" spans="6:6" ht="13.2" x14ac:dyDescent="0.25">
      <c r="F563" s="76"/>
    </row>
    <row r="564" spans="6:6" ht="13.2" x14ac:dyDescent="0.25">
      <c r="F564" s="76"/>
    </row>
    <row r="565" spans="6:6" ht="13.2" x14ac:dyDescent="0.25">
      <c r="F565" s="76"/>
    </row>
    <row r="566" spans="6:6" ht="13.2" x14ac:dyDescent="0.25">
      <c r="F566" s="76"/>
    </row>
    <row r="567" spans="6:6" ht="13.2" x14ac:dyDescent="0.25">
      <c r="F567" s="76"/>
    </row>
    <row r="568" spans="6:6" ht="13.2" x14ac:dyDescent="0.25">
      <c r="F568" s="76"/>
    </row>
    <row r="569" spans="6:6" ht="13.2" x14ac:dyDescent="0.25">
      <c r="F569" s="76"/>
    </row>
    <row r="570" spans="6:6" ht="13.2" x14ac:dyDescent="0.25">
      <c r="F570" s="76"/>
    </row>
    <row r="571" spans="6:6" ht="13.2" x14ac:dyDescent="0.25">
      <c r="F571" s="76"/>
    </row>
    <row r="572" spans="6:6" ht="13.2" x14ac:dyDescent="0.25">
      <c r="F572" s="76"/>
    </row>
    <row r="573" spans="6:6" ht="13.2" x14ac:dyDescent="0.25">
      <c r="F573" s="76"/>
    </row>
    <row r="574" spans="6:6" ht="13.2" x14ac:dyDescent="0.25">
      <c r="F574" s="76"/>
    </row>
    <row r="575" spans="6:6" ht="13.2" x14ac:dyDescent="0.25">
      <c r="F575" s="76"/>
    </row>
    <row r="576" spans="6:6" ht="13.2" x14ac:dyDescent="0.25">
      <c r="F576" s="76"/>
    </row>
    <row r="577" spans="6:6" ht="13.2" x14ac:dyDescent="0.25">
      <c r="F577" s="76"/>
    </row>
    <row r="578" spans="6:6" ht="13.2" x14ac:dyDescent="0.25">
      <c r="F578" s="76"/>
    </row>
    <row r="579" spans="6:6" ht="13.2" x14ac:dyDescent="0.25">
      <c r="F579" s="76"/>
    </row>
    <row r="580" spans="6:6" ht="13.2" x14ac:dyDescent="0.25">
      <c r="F580" s="76"/>
    </row>
    <row r="581" spans="6:6" ht="13.2" x14ac:dyDescent="0.25">
      <c r="F581" s="76"/>
    </row>
    <row r="582" spans="6:6" ht="13.2" x14ac:dyDescent="0.25">
      <c r="F582" s="76"/>
    </row>
    <row r="583" spans="6:6" ht="13.2" x14ac:dyDescent="0.25">
      <c r="F583" s="76"/>
    </row>
    <row r="584" spans="6:6" ht="13.2" x14ac:dyDescent="0.25">
      <c r="F584" s="76"/>
    </row>
    <row r="585" spans="6:6" ht="13.2" x14ac:dyDescent="0.25">
      <c r="F585" s="76"/>
    </row>
    <row r="586" spans="6:6" ht="13.2" x14ac:dyDescent="0.25">
      <c r="F586" s="76"/>
    </row>
    <row r="587" spans="6:6" ht="13.2" x14ac:dyDescent="0.25">
      <c r="F587" s="76"/>
    </row>
    <row r="588" spans="6:6" ht="13.2" x14ac:dyDescent="0.25">
      <c r="F588" s="76"/>
    </row>
    <row r="589" spans="6:6" ht="13.2" x14ac:dyDescent="0.25">
      <c r="F589" s="76"/>
    </row>
    <row r="590" spans="6:6" ht="13.2" x14ac:dyDescent="0.25">
      <c r="F590" s="76"/>
    </row>
    <row r="591" spans="6:6" ht="13.2" x14ac:dyDescent="0.25">
      <c r="F591" s="76"/>
    </row>
    <row r="592" spans="6:6" ht="13.2" x14ac:dyDescent="0.25">
      <c r="F592" s="76"/>
    </row>
    <row r="593" spans="6:6" ht="13.2" x14ac:dyDescent="0.25">
      <c r="F593" s="76"/>
    </row>
    <row r="594" spans="6:6" ht="13.2" x14ac:dyDescent="0.25">
      <c r="F594" s="76"/>
    </row>
    <row r="595" spans="6:6" ht="13.2" x14ac:dyDescent="0.25">
      <c r="F595" s="76"/>
    </row>
    <row r="596" spans="6:6" ht="13.2" x14ac:dyDescent="0.25">
      <c r="F596" s="76"/>
    </row>
    <row r="597" spans="6:6" ht="13.2" x14ac:dyDescent="0.25">
      <c r="F597" s="76"/>
    </row>
    <row r="598" spans="6:6" ht="13.2" x14ac:dyDescent="0.25">
      <c r="F598" s="76"/>
    </row>
    <row r="599" spans="6:6" ht="13.2" x14ac:dyDescent="0.25">
      <c r="F599" s="76"/>
    </row>
    <row r="600" spans="6:6" ht="13.2" x14ac:dyDescent="0.25">
      <c r="F600" s="76"/>
    </row>
    <row r="601" spans="6:6" ht="13.2" x14ac:dyDescent="0.25">
      <c r="F601" s="76"/>
    </row>
    <row r="602" spans="6:6" ht="13.2" x14ac:dyDescent="0.25">
      <c r="F602" s="76"/>
    </row>
    <row r="603" spans="6:6" ht="13.2" x14ac:dyDescent="0.25">
      <c r="F603" s="76"/>
    </row>
    <row r="604" spans="6:6" ht="13.2" x14ac:dyDescent="0.25">
      <c r="F604" s="76"/>
    </row>
    <row r="605" spans="6:6" ht="13.2" x14ac:dyDescent="0.25">
      <c r="F605" s="76"/>
    </row>
    <row r="606" spans="6:6" ht="13.2" x14ac:dyDescent="0.25">
      <c r="F606" s="76"/>
    </row>
    <row r="607" spans="6:6" ht="13.2" x14ac:dyDescent="0.25">
      <c r="F607" s="76"/>
    </row>
    <row r="608" spans="6:6" ht="13.2" x14ac:dyDescent="0.25">
      <c r="F608" s="76"/>
    </row>
    <row r="609" spans="6:6" ht="13.2" x14ac:dyDescent="0.25">
      <c r="F609" s="76"/>
    </row>
    <row r="610" spans="6:6" ht="13.2" x14ac:dyDescent="0.25">
      <c r="F610" s="76"/>
    </row>
    <row r="611" spans="6:6" ht="13.2" x14ac:dyDescent="0.25">
      <c r="F611" s="76"/>
    </row>
    <row r="612" spans="6:6" ht="13.2" x14ac:dyDescent="0.25">
      <c r="F612" s="76"/>
    </row>
    <row r="613" spans="6:6" ht="13.2" x14ac:dyDescent="0.25">
      <c r="F613" s="76"/>
    </row>
    <row r="614" spans="6:6" ht="13.2" x14ac:dyDescent="0.25">
      <c r="F614" s="76"/>
    </row>
    <row r="615" spans="6:6" ht="13.2" x14ac:dyDescent="0.25">
      <c r="F615" s="76"/>
    </row>
    <row r="616" spans="6:6" ht="13.2" x14ac:dyDescent="0.25">
      <c r="F616" s="76"/>
    </row>
    <row r="617" spans="6:6" ht="13.2" x14ac:dyDescent="0.25">
      <c r="F617" s="76"/>
    </row>
    <row r="618" spans="6:6" ht="13.2" x14ac:dyDescent="0.25">
      <c r="F618" s="76"/>
    </row>
    <row r="619" spans="6:6" ht="13.2" x14ac:dyDescent="0.25">
      <c r="F619" s="76"/>
    </row>
    <row r="620" spans="6:6" ht="13.2" x14ac:dyDescent="0.25">
      <c r="F620" s="76"/>
    </row>
    <row r="621" spans="6:6" ht="13.2" x14ac:dyDescent="0.25">
      <c r="F621" s="76"/>
    </row>
    <row r="622" spans="6:6" ht="13.2" x14ac:dyDescent="0.25">
      <c r="F622" s="76"/>
    </row>
    <row r="623" spans="6:6" ht="13.2" x14ac:dyDescent="0.25">
      <c r="F623" s="76"/>
    </row>
    <row r="624" spans="6:6" ht="13.2" x14ac:dyDescent="0.25">
      <c r="F624" s="76"/>
    </row>
    <row r="625" spans="6:6" ht="13.2" x14ac:dyDescent="0.25">
      <c r="F625" s="76"/>
    </row>
    <row r="626" spans="6:6" ht="13.2" x14ac:dyDescent="0.25">
      <c r="F626" s="76"/>
    </row>
    <row r="627" spans="6:6" ht="13.2" x14ac:dyDescent="0.25">
      <c r="F627" s="76"/>
    </row>
    <row r="628" spans="6:6" ht="13.2" x14ac:dyDescent="0.25">
      <c r="F628" s="76"/>
    </row>
    <row r="629" spans="6:6" ht="13.2" x14ac:dyDescent="0.25">
      <c r="F629" s="76"/>
    </row>
    <row r="630" spans="6:6" ht="13.2" x14ac:dyDescent="0.25">
      <c r="F630" s="76"/>
    </row>
    <row r="631" spans="6:6" ht="13.2" x14ac:dyDescent="0.25">
      <c r="F631" s="76"/>
    </row>
    <row r="632" spans="6:6" ht="13.2" x14ac:dyDescent="0.25">
      <c r="F632" s="76"/>
    </row>
    <row r="633" spans="6:6" ht="13.2" x14ac:dyDescent="0.25">
      <c r="F633" s="76"/>
    </row>
    <row r="634" spans="6:6" ht="13.2" x14ac:dyDescent="0.25">
      <c r="F634" s="76"/>
    </row>
    <row r="635" spans="6:6" ht="13.2" x14ac:dyDescent="0.25">
      <c r="F635" s="76"/>
    </row>
    <row r="636" spans="6:6" ht="13.2" x14ac:dyDescent="0.25">
      <c r="F636" s="76"/>
    </row>
    <row r="637" spans="6:6" ht="13.2" x14ac:dyDescent="0.25">
      <c r="F637" s="76"/>
    </row>
    <row r="638" spans="6:6" ht="13.2" x14ac:dyDescent="0.25">
      <c r="F638" s="76"/>
    </row>
    <row r="639" spans="6:6" ht="13.2" x14ac:dyDescent="0.25">
      <c r="F639" s="76"/>
    </row>
    <row r="640" spans="6:6" ht="13.2" x14ac:dyDescent="0.25">
      <c r="F640" s="76"/>
    </row>
    <row r="641" spans="6:6" ht="13.2" x14ac:dyDescent="0.25">
      <c r="F641" s="76"/>
    </row>
    <row r="642" spans="6:6" ht="13.2" x14ac:dyDescent="0.25">
      <c r="F642" s="76"/>
    </row>
    <row r="643" spans="6:6" ht="13.2" x14ac:dyDescent="0.25">
      <c r="F643" s="76"/>
    </row>
    <row r="644" spans="6:6" ht="13.2" x14ac:dyDescent="0.25">
      <c r="F644" s="76"/>
    </row>
    <row r="645" spans="6:6" ht="13.2" x14ac:dyDescent="0.25">
      <c r="F645" s="76"/>
    </row>
    <row r="646" spans="6:6" ht="13.2" x14ac:dyDescent="0.25">
      <c r="F646" s="76"/>
    </row>
    <row r="647" spans="6:6" ht="13.2" x14ac:dyDescent="0.25">
      <c r="F647" s="76"/>
    </row>
    <row r="648" spans="6:6" ht="13.2" x14ac:dyDescent="0.25">
      <c r="F648" s="76"/>
    </row>
    <row r="649" spans="6:6" ht="13.2" x14ac:dyDescent="0.25">
      <c r="F649" s="76"/>
    </row>
    <row r="650" spans="6:6" ht="13.2" x14ac:dyDescent="0.25">
      <c r="F650" s="76"/>
    </row>
    <row r="651" spans="6:6" ht="13.2" x14ac:dyDescent="0.25">
      <c r="F651" s="76"/>
    </row>
    <row r="652" spans="6:6" ht="13.2" x14ac:dyDescent="0.25">
      <c r="F652" s="76"/>
    </row>
    <row r="653" spans="6:6" ht="13.2" x14ac:dyDescent="0.25">
      <c r="F653" s="76"/>
    </row>
    <row r="654" spans="6:6" ht="13.2" x14ac:dyDescent="0.25">
      <c r="F654" s="76"/>
    </row>
    <row r="655" spans="6:6" ht="13.2" x14ac:dyDescent="0.25">
      <c r="F655" s="76"/>
    </row>
    <row r="656" spans="6:6" ht="13.2" x14ac:dyDescent="0.25">
      <c r="F656" s="76"/>
    </row>
    <row r="657" spans="6:6" ht="13.2" x14ac:dyDescent="0.25">
      <c r="F657" s="76"/>
    </row>
    <row r="658" spans="6:6" ht="13.2" x14ac:dyDescent="0.25">
      <c r="F658" s="76"/>
    </row>
    <row r="659" spans="6:6" ht="13.2" x14ac:dyDescent="0.25">
      <c r="F659" s="76"/>
    </row>
    <row r="660" spans="6:6" ht="13.2" x14ac:dyDescent="0.25">
      <c r="F660" s="76"/>
    </row>
    <row r="661" spans="6:6" ht="13.2" x14ac:dyDescent="0.25">
      <c r="F661" s="76"/>
    </row>
    <row r="662" spans="6:6" ht="13.2" x14ac:dyDescent="0.25">
      <c r="F662" s="76"/>
    </row>
    <row r="663" spans="6:6" ht="13.2" x14ac:dyDescent="0.25">
      <c r="F663" s="76"/>
    </row>
    <row r="664" spans="6:6" ht="13.2" x14ac:dyDescent="0.25">
      <c r="F664" s="76"/>
    </row>
    <row r="665" spans="6:6" ht="13.2" x14ac:dyDescent="0.25">
      <c r="F665" s="76"/>
    </row>
    <row r="666" spans="6:6" ht="13.2" x14ac:dyDescent="0.25">
      <c r="F666" s="76"/>
    </row>
    <row r="667" spans="6:6" ht="13.2" x14ac:dyDescent="0.25">
      <c r="F667" s="76"/>
    </row>
    <row r="668" spans="6:6" ht="13.2" x14ac:dyDescent="0.25">
      <c r="F668" s="76"/>
    </row>
    <row r="669" spans="6:6" ht="13.2" x14ac:dyDescent="0.25">
      <c r="F669" s="76"/>
    </row>
    <row r="670" spans="6:6" ht="13.2" x14ac:dyDescent="0.25">
      <c r="F670" s="76"/>
    </row>
    <row r="671" spans="6:6" ht="13.2" x14ac:dyDescent="0.25">
      <c r="F671" s="76"/>
    </row>
    <row r="672" spans="6:6" ht="13.2" x14ac:dyDescent="0.25">
      <c r="F672" s="76"/>
    </row>
    <row r="673" spans="6:6" ht="13.2" x14ac:dyDescent="0.25">
      <c r="F673" s="76"/>
    </row>
    <row r="674" spans="6:6" ht="13.2" x14ac:dyDescent="0.25">
      <c r="F674" s="76"/>
    </row>
    <row r="675" spans="6:6" ht="13.2" x14ac:dyDescent="0.25">
      <c r="F675" s="76"/>
    </row>
    <row r="676" spans="6:6" ht="13.2" x14ac:dyDescent="0.25">
      <c r="F676" s="76"/>
    </row>
    <row r="677" spans="6:6" ht="13.2" x14ac:dyDescent="0.25">
      <c r="F677" s="76"/>
    </row>
    <row r="678" spans="6:6" ht="13.2" x14ac:dyDescent="0.25">
      <c r="F678" s="76"/>
    </row>
    <row r="679" spans="6:6" ht="13.2" x14ac:dyDescent="0.25">
      <c r="F679" s="76"/>
    </row>
    <row r="680" spans="6:6" ht="13.2" x14ac:dyDescent="0.25">
      <c r="F680" s="76"/>
    </row>
    <row r="681" spans="6:6" ht="13.2" x14ac:dyDescent="0.25">
      <c r="F681" s="76"/>
    </row>
    <row r="682" spans="6:6" ht="13.2" x14ac:dyDescent="0.25">
      <c r="F682" s="76"/>
    </row>
    <row r="683" spans="6:6" ht="13.2" x14ac:dyDescent="0.25">
      <c r="F683" s="76"/>
    </row>
    <row r="684" spans="6:6" ht="13.2" x14ac:dyDescent="0.25">
      <c r="F684" s="76"/>
    </row>
    <row r="685" spans="6:6" ht="13.2" x14ac:dyDescent="0.25">
      <c r="F685" s="76"/>
    </row>
    <row r="686" spans="6:6" ht="13.2" x14ac:dyDescent="0.25">
      <c r="F686" s="76"/>
    </row>
    <row r="687" spans="6:6" ht="13.2" x14ac:dyDescent="0.25">
      <c r="F687" s="76"/>
    </row>
    <row r="688" spans="6:6" ht="13.2" x14ac:dyDescent="0.25">
      <c r="F688" s="76"/>
    </row>
    <row r="689" spans="6:6" ht="13.2" x14ac:dyDescent="0.25">
      <c r="F689" s="76"/>
    </row>
    <row r="690" spans="6:6" ht="13.2" x14ac:dyDescent="0.25">
      <c r="F690" s="76"/>
    </row>
    <row r="691" spans="6:6" ht="13.2" x14ac:dyDescent="0.25">
      <c r="F691" s="76"/>
    </row>
    <row r="692" spans="6:6" ht="13.2" x14ac:dyDescent="0.25">
      <c r="F692" s="76"/>
    </row>
    <row r="693" spans="6:6" ht="13.2" x14ac:dyDescent="0.25">
      <c r="F693" s="76"/>
    </row>
    <row r="694" spans="6:6" ht="13.2" x14ac:dyDescent="0.25">
      <c r="F694" s="76"/>
    </row>
    <row r="695" spans="6:6" ht="13.2" x14ac:dyDescent="0.25">
      <c r="F695" s="76"/>
    </row>
    <row r="696" spans="6:6" ht="13.2" x14ac:dyDescent="0.25">
      <c r="F696" s="76"/>
    </row>
    <row r="697" spans="6:6" ht="13.2" x14ac:dyDescent="0.25">
      <c r="F697" s="76"/>
    </row>
    <row r="698" spans="6:6" ht="13.2" x14ac:dyDescent="0.25">
      <c r="F698" s="76"/>
    </row>
    <row r="699" spans="6:6" ht="13.2" x14ac:dyDescent="0.25">
      <c r="F699" s="76"/>
    </row>
    <row r="700" spans="6:6" ht="13.2" x14ac:dyDescent="0.25">
      <c r="F700" s="76"/>
    </row>
    <row r="701" spans="6:6" ht="13.2" x14ac:dyDescent="0.25">
      <c r="F701" s="76"/>
    </row>
    <row r="702" spans="6:6" ht="13.2" x14ac:dyDescent="0.25">
      <c r="F702" s="76"/>
    </row>
    <row r="703" spans="6:6" ht="13.2" x14ac:dyDescent="0.25">
      <c r="F703" s="76"/>
    </row>
    <row r="704" spans="6:6" ht="13.2" x14ac:dyDescent="0.25">
      <c r="F704" s="76"/>
    </row>
    <row r="705" spans="6:6" ht="13.2" x14ac:dyDescent="0.25">
      <c r="F705" s="76"/>
    </row>
    <row r="706" spans="6:6" ht="13.2" x14ac:dyDescent="0.25">
      <c r="F706" s="76"/>
    </row>
    <row r="707" spans="6:6" ht="13.2" x14ac:dyDescent="0.25">
      <c r="F707" s="76"/>
    </row>
    <row r="708" spans="6:6" ht="13.2" x14ac:dyDescent="0.25">
      <c r="F708" s="76"/>
    </row>
    <row r="709" spans="6:6" ht="13.2" x14ac:dyDescent="0.25">
      <c r="F709" s="76"/>
    </row>
    <row r="710" spans="6:6" ht="13.2" x14ac:dyDescent="0.25">
      <c r="F710" s="76"/>
    </row>
    <row r="711" spans="6:6" ht="13.2" x14ac:dyDescent="0.25">
      <c r="F711" s="76"/>
    </row>
    <row r="712" spans="6:6" ht="13.2" x14ac:dyDescent="0.25">
      <c r="F712" s="76"/>
    </row>
    <row r="713" spans="6:6" ht="13.2" x14ac:dyDescent="0.25">
      <c r="F713" s="76"/>
    </row>
    <row r="714" spans="6:6" ht="13.2" x14ac:dyDescent="0.25">
      <c r="F714" s="76"/>
    </row>
    <row r="715" spans="6:6" ht="13.2" x14ac:dyDescent="0.25">
      <c r="F715" s="76"/>
    </row>
    <row r="716" spans="6:6" ht="13.2" x14ac:dyDescent="0.25">
      <c r="F716" s="76"/>
    </row>
    <row r="717" spans="6:6" ht="13.2" x14ac:dyDescent="0.25">
      <c r="F717" s="76"/>
    </row>
    <row r="718" spans="6:6" ht="13.2" x14ac:dyDescent="0.25">
      <c r="F718" s="76"/>
    </row>
    <row r="719" spans="6:6" ht="13.2" x14ac:dyDescent="0.25">
      <c r="F719" s="76"/>
    </row>
    <row r="720" spans="6:6" ht="13.2" x14ac:dyDescent="0.25">
      <c r="F720" s="76"/>
    </row>
    <row r="721" spans="6:6" ht="13.2" x14ac:dyDescent="0.25">
      <c r="F721" s="76"/>
    </row>
    <row r="722" spans="6:6" ht="13.2" x14ac:dyDescent="0.25">
      <c r="F722" s="76"/>
    </row>
    <row r="723" spans="6:6" ht="13.2" x14ac:dyDescent="0.25">
      <c r="F723" s="76"/>
    </row>
    <row r="724" spans="6:6" ht="13.2" x14ac:dyDescent="0.25">
      <c r="F724" s="76"/>
    </row>
    <row r="725" spans="6:6" ht="13.2" x14ac:dyDescent="0.25">
      <c r="F725" s="76"/>
    </row>
    <row r="726" spans="6:6" ht="13.2" x14ac:dyDescent="0.25">
      <c r="F726" s="76"/>
    </row>
    <row r="727" spans="6:6" ht="13.2" x14ac:dyDescent="0.25">
      <c r="F727" s="76"/>
    </row>
    <row r="728" spans="6:6" ht="13.2" x14ac:dyDescent="0.25">
      <c r="F728" s="76"/>
    </row>
    <row r="729" spans="6:6" ht="13.2" x14ac:dyDescent="0.25">
      <c r="F729" s="76"/>
    </row>
    <row r="730" spans="6:6" ht="13.2" x14ac:dyDescent="0.25">
      <c r="F730" s="76"/>
    </row>
    <row r="731" spans="6:6" ht="13.2" x14ac:dyDescent="0.25">
      <c r="F731" s="76"/>
    </row>
    <row r="732" spans="6:6" ht="13.2" x14ac:dyDescent="0.25">
      <c r="F732" s="76"/>
    </row>
    <row r="733" spans="6:6" ht="13.2" x14ac:dyDescent="0.25">
      <c r="F733" s="76"/>
    </row>
    <row r="734" spans="6:6" ht="13.2" x14ac:dyDescent="0.25">
      <c r="F734" s="76"/>
    </row>
    <row r="735" spans="6:6" ht="13.2" x14ac:dyDescent="0.25">
      <c r="F735" s="76"/>
    </row>
    <row r="736" spans="6:6" ht="13.2" x14ac:dyDescent="0.25">
      <c r="F736" s="76"/>
    </row>
    <row r="737" spans="6:6" ht="13.2" x14ac:dyDescent="0.25">
      <c r="F737" s="76"/>
    </row>
    <row r="738" spans="6:6" ht="13.2" x14ac:dyDescent="0.25">
      <c r="F738" s="76"/>
    </row>
    <row r="739" spans="6:6" ht="13.2" x14ac:dyDescent="0.25">
      <c r="F739" s="76"/>
    </row>
    <row r="740" spans="6:6" ht="13.2" x14ac:dyDescent="0.25">
      <c r="F740" s="76"/>
    </row>
    <row r="741" spans="6:6" ht="13.2" x14ac:dyDescent="0.25">
      <c r="F741" s="76"/>
    </row>
    <row r="742" spans="6:6" ht="13.2" x14ac:dyDescent="0.25">
      <c r="F742" s="76"/>
    </row>
    <row r="743" spans="6:6" ht="13.2" x14ac:dyDescent="0.25">
      <c r="F743" s="76"/>
    </row>
    <row r="744" spans="6:6" ht="13.2" x14ac:dyDescent="0.25">
      <c r="F744" s="76"/>
    </row>
    <row r="745" spans="6:6" ht="13.2" x14ac:dyDescent="0.25">
      <c r="F745" s="76"/>
    </row>
    <row r="746" spans="6:6" ht="13.2" x14ac:dyDescent="0.25">
      <c r="F746" s="76"/>
    </row>
    <row r="747" spans="6:6" ht="13.2" x14ac:dyDescent="0.25">
      <c r="F747" s="76"/>
    </row>
    <row r="748" spans="6:6" ht="13.2" x14ac:dyDescent="0.25">
      <c r="F748" s="76"/>
    </row>
    <row r="749" spans="6:6" ht="13.2" x14ac:dyDescent="0.25">
      <c r="F749" s="76"/>
    </row>
    <row r="750" spans="6:6" ht="13.2" x14ac:dyDescent="0.25">
      <c r="F750" s="76"/>
    </row>
    <row r="751" spans="6:6" ht="13.2" x14ac:dyDescent="0.25">
      <c r="F751" s="76"/>
    </row>
    <row r="752" spans="6:6" ht="13.2" x14ac:dyDescent="0.25">
      <c r="F752" s="76"/>
    </row>
    <row r="753" spans="6:6" ht="13.2" x14ac:dyDescent="0.25">
      <c r="F753" s="76"/>
    </row>
    <row r="754" spans="6:6" ht="13.2" x14ac:dyDescent="0.25">
      <c r="F754" s="76"/>
    </row>
    <row r="755" spans="6:6" ht="13.2" x14ac:dyDescent="0.25">
      <c r="F755" s="76"/>
    </row>
    <row r="756" spans="6:6" ht="13.2" x14ac:dyDescent="0.25">
      <c r="F756" s="76"/>
    </row>
    <row r="757" spans="6:6" ht="13.2" x14ac:dyDescent="0.25">
      <c r="F757" s="76"/>
    </row>
    <row r="758" spans="6:6" ht="13.2" x14ac:dyDescent="0.25">
      <c r="F758" s="76"/>
    </row>
    <row r="759" spans="6:6" ht="13.2" x14ac:dyDescent="0.25">
      <c r="F759" s="76"/>
    </row>
    <row r="760" spans="6:6" ht="13.2" x14ac:dyDescent="0.25">
      <c r="F760" s="76"/>
    </row>
    <row r="761" spans="6:6" ht="13.2" x14ac:dyDescent="0.25">
      <c r="F761" s="76"/>
    </row>
    <row r="762" spans="6:6" ht="13.2" x14ac:dyDescent="0.25">
      <c r="F762" s="76"/>
    </row>
    <row r="763" spans="6:6" ht="13.2" x14ac:dyDescent="0.25">
      <c r="F763" s="76"/>
    </row>
    <row r="764" spans="6:6" ht="13.2" x14ac:dyDescent="0.25">
      <c r="F764" s="76"/>
    </row>
    <row r="765" spans="6:6" ht="13.2" x14ac:dyDescent="0.25">
      <c r="F765" s="76"/>
    </row>
    <row r="766" spans="6:6" ht="13.2" x14ac:dyDescent="0.25">
      <c r="F766" s="76"/>
    </row>
    <row r="767" spans="6:6" ht="13.2" x14ac:dyDescent="0.25">
      <c r="F767" s="76"/>
    </row>
    <row r="768" spans="6:6" ht="13.2" x14ac:dyDescent="0.25">
      <c r="F768" s="76"/>
    </row>
    <row r="769" spans="6:6" ht="13.2" x14ac:dyDescent="0.25">
      <c r="F769" s="76"/>
    </row>
    <row r="770" spans="6:6" ht="13.2" x14ac:dyDescent="0.25">
      <c r="F770" s="76"/>
    </row>
    <row r="771" spans="6:6" ht="13.2" x14ac:dyDescent="0.25">
      <c r="F771" s="76"/>
    </row>
    <row r="772" spans="6:6" ht="13.2" x14ac:dyDescent="0.25">
      <c r="F772" s="76"/>
    </row>
    <row r="773" spans="6:6" ht="13.2" x14ac:dyDescent="0.25">
      <c r="F773" s="76"/>
    </row>
    <row r="774" spans="6:6" ht="13.2" x14ac:dyDescent="0.25">
      <c r="F774" s="76"/>
    </row>
    <row r="775" spans="6:6" ht="13.2" x14ac:dyDescent="0.25">
      <c r="F775" s="76"/>
    </row>
    <row r="776" spans="6:6" ht="13.2" x14ac:dyDescent="0.25">
      <c r="F776" s="76"/>
    </row>
    <row r="777" spans="6:6" ht="13.2" x14ac:dyDescent="0.25">
      <c r="F777" s="76"/>
    </row>
    <row r="778" spans="6:6" ht="13.2" x14ac:dyDescent="0.25">
      <c r="F778" s="76"/>
    </row>
    <row r="779" spans="6:6" ht="13.2" x14ac:dyDescent="0.25">
      <c r="F779" s="76"/>
    </row>
    <row r="780" spans="6:6" ht="13.2" x14ac:dyDescent="0.25">
      <c r="F780" s="76"/>
    </row>
    <row r="781" spans="6:6" ht="13.2" x14ac:dyDescent="0.25">
      <c r="F781" s="76"/>
    </row>
    <row r="782" spans="6:6" ht="13.2" x14ac:dyDescent="0.25">
      <c r="F782" s="76"/>
    </row>
    <row r="783" spans="6:6" ht="13.2" x14ac:dyDescent="0.25">
      <c r="F783" s="76"/>
    </row>
    <row r="784" spans="6:6" ht="13.2" x14ac:dyDescent="0.25">
      <c r="F784" s="76"/>
    </row>
    <row r="785" spans="6:6" ht="13.2" x14ac:dyDescent="0.25">
      <c r="F785" s="76"/>
    </row>
    <row r="786" spans="6:6" ht="13.2" x14ac:dyDescent="0.25">
      <c r="F786" s="76"/>
    </row>
    <row r="787" spans="6:6" ht="13.2" x14ac:dyDescent="0.25">
      <c r="F787" s="76"/>
    </row>
    <row r="788" spans="6:6" ht="13.2" x14ac:dyDescent="0.25">
      <c r="F788" s="76"/>
    </row>
    <row r="789" spans="6:6" ht="13.2" x14ac:dyDescent="0.25">
      <c r="F789" s="76"/>
    </row>
    <row r="790" spans="6:6" ht="13.2" x14ac:dyDescent="0.25">
      <c r="F790" s="76"/>
    </row>
    <row r="791" spans="6:6" ht="13.2" x14ac:dyDescent="0.25">
      <c r="F791" s="76"/>
    </row>
    <row r="792" spans="6:6" ht="13.2" x14ac:dyDescent="0.25">
      <c r="F792" s="76"/>
    </row>
    <row r="793" spans="6:6" ht="13.2" x14ac:dyDescent="0.25">
      <c r="F793" s="76"/>
    </row>
    <row r="794" spans="6:6" ht="13.2" x14ac:dyDescent="0.25">
      <c r="F794" s="76"/>
    </row>
    <row r="795" spans="6:6" ht="13.2" x14ac:dyDescent="0.25">
      <c r="F795" s="76"/>
    </row>
    <row r="796" spans="6:6" ht="13.2" x14ac:dyDescent="0.25">
      <c r="F796" s="76"/>
    </row>
    <row r="797" spans="6:6" ht="13.2" x14ac:dyDescent="0.25">
      <c r="F797" s="76"/>
    </row>
    <row r="798" spans="6:6" ht="13.2" x14ac:dyDescent="0.25">
      <c r="F798" s="76"/>
    </row>
    <row r="799" spans="6:6" ht="13.2" x14ac:dyDescent="0.25">
      <c r="F799" s="76"/>
    </row>
    <row r="800" spans="6:6" ht="13.2" x14ac:dyDescent="0.25">
      <c r="F800" s="76"/>
    </row>
    <row r="801" spans="6:6" ht="13.2" x14ac:dyDescent="0.25">
      <c r="F801" s="76"/>
    </row>
    <row r="802" spans="6:6" ht="13.2" x14ac:dyDescent="0.25">
      <c r="F802" s="76"/>
    </row>
    <row r="803" spans="6:6" ht="13.2" x14ac:dyDescent="0.25">
      <c r="F803" s="76"/>
    </row>
    <row r="804" spans="6:6" ht="13.2" x14ac:dyDescent="0.25">
      <c r="F804" s="76"/>
    </row>
    <row r="805" spans="6:6" ht="13.2" x14ac:dyDescent="0.25">
      <c r="F805" s="76"/>
    </row>
    <row r="806" spans="6:6" ht="13.2" x14ac:dyDescent="0.25">
      <c r="F806" s="76"/>
    </row>
    <row r="807" spans="6:6" ht="13.2" x14ac:dyDescent="0.25">
      <c r="F807" s="76"/>
    </row>
    <row r="808" spans="6:6" ht="13.2" x14ac:dyDescent="0.25">
      <c r="F808" s="76"/>
    </row>
    <row r="809" spans="6:6" ht="13.2" x14ac:dyDescent="0.25">
      <c r="F809" s="76"/>
    </row>
    <row r="810" spans="6:6" ht="13.2" x14ac:dyDescent="0.25">
      <c r="F810" s="76"/>
    </row>
    <row r="811" spans="6:6" ht="13.2" x14ac:dyDescent="0.25">
      <c r="F811" s="76"/>
    </row>
    <row r="812" spans="6:6" ht="13.2" x14ac:dyDescent="0.25">
      <c r="F812" s="76"/>
    </row>
    <row r="813" spans="6:6" ht="13.2" x14ac:dyDescent="0.25">
      <c r="F813" s="76"/>
    </row>
    <row r="814" spans="6:6" ht="13.2" x14ac:dyDescent="0.25">
      <c r="F814" s="76"/>
    </row>
    <row r="815" spans="6:6" ht="13.2" x14ac:dyDescent="0.25">
      <c r="F815" s="76"/>
    </row>
    <row r="816" spans="6:6" ht="13.2" x14ac:dyDescent="0.25">
      <c r="F816" s="76"/>
    </row>
    <row r="817" spans="6:6" ht="13.2" x14ac:dyDescent="0.25">
      <c r="F817" s="76"/>
    </row>
    <row r="818" spans="6:6" ht="13.2" x14ac:dyDescent="0.25">
      <c r="F818" s="76"/>
    </row>
    <row r="819" spans="6:6" ht="13.2" x14ac:dyDescent="0.25">
      <c r="F819" s="76"/>
    </row>
    <row r="820" spans="6:6" ht="13.2" x14ac:dyDescent="0.25">
      <c r="F820" s="76"/>
    </row>
    <row r="821" spans="6:6" ht="13.2" x14ac:dyDescent="0.25">
      <c r="F821" s="76"/>
    </row>
    <row r="822" spans="6:6" ht="13.2" x14ac:dyDescent="0.25">
      <c r="F822" s="76"/>
    </row>
    <row r="823" spans="6:6" ht="13.2" x14ac:dyDescent="0.25">
      <c r="F823" s="76"/>
    </row>
    <row r="824" spans="6:6" ht="13.2" x14ac:dyDescent="0.25">
      <c r="F824" s="76"/>
    </row>
    <row r="825" spans="6:6" ht="13.2" x14ac:dyDescent="0.25">
      <c r="F825" s="76"/>
    </row>
    <row r="826" spans="6:6" ht="13.2" x14ac:dyDescent="0.25">
      <c r="F826" s="76"/>
    </row>
    <row r="827" spans="6:6" ht="13.2" x14ac:dyDescent="0.25">
      <c r="F827" s="76"/>
    </row>
    <row r="828" spans="6:6" ht="13.2" x14ac:dyDescent="0.25">
      <c r="F828" s="76"/>
    </row>
    <row r="829" spans="6:6" ht="13.2" x14ac:dyDescent="0.25">
      <c r="F829" s="76"/>
    </row>
    <row r="830" spans="6:6" ht="13.2" x14ac:dyDescent="0.25">
      <c r="F830" s="76"/>
    </row>
    <row r="831" spans="6:6" ht="13.2" x14ac:dyDescent="0.25">
      <c r="F831" s="76"/>
    </row>
    <row r="832" spans="6:6" ht="13.2" x14ac:dyDescent="0.25">
      <c r="F832" s="76"/>
    </row>
    <row r="833" spans="6:6" ht="13.2" x14ac:dyDescent="0.25">
      <c r="F833" s="76"/>
    </row>
    <row r="834" spans="6:6" ht="13.2" x14ac:dyDescent="0.25">
      <c r="F834" s="76"/>
    </row>
    <row r="835" spans="6:6" ht="13.2" x14ac:dyDescent="0.25">
      <c r="F835" s="76"/>
    </row>
    <row r="836" spans="6:6" ht="13.2" x14ac:dyDescent="0.25">
      <c r="F836" s="76"/>
    </row>
    <row r="837" spans="6:6" ht="13.2" x14ac:dyDescent="0.25">
      <c r="F837" s="76"/>
    </row>
    <row r="838" spans="6:6" ht="13.2" x14ac:dyDescent="0.25">
      <c r="F838" s="76"/>
    </row>
    <row r="839" spans="6:6" ht="13.2" x14ac:dyDescent="0.25">
      <c r="F839" s="76"/>
    </row>
    <row r="840" spans="6:6" ht="13.2" x14ac:dyDescent="0.25">
      <c r="F840" s="76"/>
    </row>
    <row r="841" spans="6:6" ht="13.2" x14ac:dyDescent="0.25">
      <c r="F841" s="76"/>
    </row>
    <row r="842" spans="6:6" ht="13.2" x14ac:dyDescent="0.25">
      <c r="F842" s="76"/>
    </row>
    <row r="843" spans="6:6" ht="13.2" x14ac:dyDescent="0.25">
      <c r="F843" s="76"/>
    </row>
    <row r="844" spans="6:6" ht="13.2" x14ac:dyDescent="0.25">
      <c r="F844" s="76"/>
    </row>
    <row r="845" spans="6:6" ht="13.2" x14ac:dyDescent="0.25">
      <c r="F845" s="76"/>
    </row>
    <row r="846" spans="6:6" ht="13.2" x14ac:dyDescent="0.25">
      <c r="F846" s="76"/>
    </row>
    <row r="847" spans="6:6" ht="13.2" x14ac:dyDescent="0.25">
      <c r="F847" s="76"/>
    </row>
    <row r="848" spans="6:6" ht="13.2" x14ac:dyDescent="0.25">
      <c r="F848" s="76"/>
    </row>
    <row r="849" spans="6:6" ht="13.2" x14ac:dyDescent="0.25">
      <c r="F849" s="76"/>
    </row>
    <row r="850" spans="6:6" ht="13.2" x14ac:dyDescent="0.25">
      <c r="F850" s="76"/>
    </row>
    <row r="851" spans="6:6" ht="13.2" x14ac:dyDescent="0.25">
      <c r="F851" s="76"/>
    </row>
    <row r="852" spans="6:6" ht="13.2" x14ac:dyDescent="0.25">
      <c r="F852" s="76"/>
    </row>
    <row r="853" spans="6:6" ht="13.2" x14ac:dyDescent="0.25">
      <c r="F853" s="76"/>
    </row>
    <row r="854" spans="6:6" ht="13.2" x14ac:dyDescent="0.25">
      <c r="F854" s="76"/>
    </row>
    <row r="855" spans="6:6" ht="13.2" x14ac:dyDescent="0.25">
      <c r="F855" s="76"/>
    </row>
    <row r="856" spans="6:6" ht="13.2" x14ac:dyDescent="0.25">
      <c r="F856" s="76"/>
    </row>
    <row r="857" spans="6:6" ht="13.2" x14ac:dyDescent="0.25">
      <c r="F857" s="76"/>
    </row>
    <row r="858" spans="6:6" ht="13.2" x14ac:dyDescent="0.25">
      <c r="F858" s="76"/>
    </row>
    <row r="859" spans="6:6" ht="13.2" x14ac:dyDescent="0.25">
      <c r="F859" s="76"/>
    </row>
    <row r="860" spans="6:6" ht="13.2" x14ac:dyDescent="0.25">
      <c r="F860" s="76"/>
    </row>
    <row r="861" spans="6:6" ht="13.2" x14ac:dyDescent="0.25">
      <c r="F861" s="76"/>
    </row>
    <row r="862" spans="6:6" ht="13.2" x14ac:dyDescent="0.25">
      <c r="F862" s="76"/>
    </row>
    <row r="863" spans="6:6" ht="13.2" x14ac:dyDescent="0.25">
      <c r="F863" s="76"/>
    </row>
    <row r="864" spans="6:6" ht="13.2" x14ac:dyDescent="0.25">
      <c r="F864" s="76"/>
    </row>
    <row r="865" spans="6:6" ht="13.2" x14ac:dyDescent="0.25">
      <c r="F865" s="76"/>
    </row>
    <row r="866" spans="6:6" ht="13.2" x14ac:dyDescent="0.25">
      <c r="F866" s="76"/>
    </row>
    <row r="867" spans="6:6" ht="13.2" x14ac:dyDescent="0.25">
      <c r="F867" s="76"/>
    </row>
    <row r="868" spans="6:6" ht="13.2" x14ac:dyDescent="0.25">
      <c r="F868" s="76"/>
    </row>
    <row r="869" spans="6:6" ht="13.2" x14ac:dyDescent="0.25">
      <c r="F869" s="76"/>
    </row>
    <row r="870" spans="6:6" ht="13.2" x14ac:dyDescent="0.25">
      <c r="F870" s="76"/>
    </row>
    <row r="871" spans="6:6" ht="13.2" x14ac:dyDescent="0.25">
      <c r="F871" s="76"/>
    </row>
    <row r="872" spans="6:6" ht="13.2" x14ac:dyDescent="0.25">
      <c r="F872" s="76"/>
    </row>
    <row r="873" spans="6:6" ht="13.2" x14ac:dyDescent="0.25">
      <c r="F873" s="76"/>
    </row>
    <row r="874" spans="6:6" ht="13.2" x14ac:dyDescent="0.25">
      <c r="F874" s="76"/>
    </row>
    <row r="875" spans="6:6" ht="13.2" x14ac:dyDescent="0.25">
      <c r="F875" s="76"/>
    </row>
    <row r="876" spans="6:6" ht="13.2" x14ac:dyDescent="0.25">
      <c r="F876" s="76"/>
    </row>
    <row r="877" spans="6:6" ht="13.2" x14ac:dyDescent="0.25">
      <c r="F877" s="76"/>
    </row>
    <row r="878" spans="6:6" ht="13.2" x14ac:dyDescent="0.25">
      <c r="F878" s="76"/>
    </row>
    <row r="879" spans="6:6" ht="13.2" x14ac:dyDescent="0.25">
      <c r="F879" s="76"/>
    </row>
    <row r="880" spans="6:6" ht="13.2" x14ac:dyDescent="0.25">
      <c r="F880" s="76"/>
    </row>
    <row r="881" spans="6:6" ht="13.2" x14ac:dyDescent="0.25">
      <c r="F881" s="76"/>
    </row>
    <row r="882" spans="6:6" ht="13.2" x14ac:dyDescent="0.25">
      <c r="F882" s="76"/>
    </row>
    <row r="883" spans="6:6" ht="13.2" x14ac:dyDescent="0.25">
      <c r="F883" s="76"/>
    </row>
    <row r="884" spans="6:6" ht="13.2" x14ac:dyDescent="0.25">
      <c r="F884" s="76"/>
    </row>
    <row r="885" spans="6:6" ht="13.2" x14ac:dyDescent="0.25">
      <c r="F885" s="76"/>
    </row>
    <row r="886" spans="6:6" ht="13.2" x14ac:dyDescent="0.25">
      <c r="F886" s="76"/>
    </row>
    <row r="887" spans="6:6" ht="13.2" x14ac:dyDescent="0.25">
      <c r="F887" s="76"/>
    </row>
    <row r="888" spans="6:6" ht="13.2" x14ac:dyDescent="0.25">
      <c r="F888" s="76"/>
    </row>
    <row r="889" spans="6:6" ht="13.2" x14ac:dyDescent="0.25">
      <c r="F889" s="76"/>
    </row>
    <row r="890" spans="6:6" ht="13.2" x14ac:dyDescent="0.25">
      <c r="F890" s="76"/>
    </row>
    <row r="891" spans="6:6" ht="13.2" x14ac:dyDescent="0.25">
      <c r="F891" s="76"/>
    </row>
    <row r="892" spans="6:6" ht="13.2" x14ac:dyDescent="0.25">
      <c r="F892" s="76"/>
    </row>
    <row r="893" spans="6:6" ht="13.2" x14ac:dyDescent="0.25">
      <c r="F893" s="76"/>
    </row>
    <row r="894" spans="6:6" ht="13.2" x14ac:dyDescent="0.25">
      <c r="F894" s="76"/>
    </row>
    <row r="895" spans="6:6" ht="13.2" x14ac:dyDescent="0.25">
      <c r="F895" s="76"/>
    </row>
    <row r="896" spans="6:6" ht="13.2" x14ac:dyDescent="0.25">
      <c r="F896" s="76"/>
    </row>
    <row r="897" spans="6:6" ht="13.2" x14ac:dyDescent="0.25">
      <c r="F897" s="76"/>
    </row>
    <row r="898" spans="6:6" ht="13.2" x14ac:dyDescent="0.25">
      <c r="F898" s="76"/>
    </row>
    <row r="899" spans="6:6" ht="13.2" x14ac:dyDescent="0.25">
      <c r="F899" s="76"/>
    </row>
    <row r="900" spans="6:6" ht="13.2" x14ac:dyDescent="0.25">
      <c r="F900" s="76"/>
    </row>
    <row r="901" spans="6:6" ht="13.2" x14ac:dyDescent="0.25">
      <c r="F901" s="76"/>
    </row>
    <row r="902" spans="6:6" ht="13.2" x14ac:dyDescent="0.25">
      <c r="F902" s="76"/>
    </row>
    <row r="903" spans="6:6" ht="13.2" x14ac:dyDescent="0.25">
      <c r="F903" s="76"/>
    </row>
    <row r="904" spans="6:6" ht="13.2" x14ac:dyDescent="0.25">
      <c r="F904" s="76"/>
    </row>
    <row r="905" spans="6:6" ht="13.2" x14ac:dyDescent="0.25">
      <c r="F905" s="76"/>
    </row>
    <row r="906" spans="6:6" ht="13.2" x14ac:dyDescent="0.25">
      <c r="F906" s="76"/>
    </row>
    <row r="907" spans="6:6" ht="13.2" x14ac:dyDescent="0.25">
      <c r="F907" s="76"/>
    </row>
    <row r="908" spans="6:6" ht="13.2" x14ac:dyDescent="0.25">
      <c r="F908" s="76"/>
    </row>
    <row r="909" spans="6:6" ht="13.2" x14ac:dyDescent="0.25">
      <c r="F909" s="76"/>
    </row>
    <row r="910" spans="6:6" ht="13.2" x14ac:dyDescent="0.25">
      <c r="F910" s="76"/>
    </row>
    <row r="911" spans="6:6" ht="13.2" x14ac:dyDescent="0.25">
      <c r="F911" s="76"/>
    </row>
    <row r="912" spans="6:6" ht="13.2" x14ac:dyDescent="0.25">
      <c r="F912" s="76"/>
    </row>
    <row r="913" spans="6:6" ht="13.2" x14ac:dyDescent="0.25">
      <c r="F913" s="76"/>
    </row>
    <row r="914" spans="6:6" ht="13.2" x14ac:dyDescent="0.25">
      <c r="F914" s="76"/>
    </row>
    <row r="915" spans="6:6" ht="13.2" x14ac:dyDescent="0.25">
      <c r="F915" s="76"/>
    </row>
    <row r="916" spans="6:6" ht="13.2" x14ac:dyDescent="0.25">
      <c r="F916" s="76"/>
    </row>
    <row r="917" spans="6:6" ht="13.2" x14ac:dyDescent="0.25">
      <c r="F917" s="76"/>
    </row>
    <row r="918" spans="6:6" ht="13.2" x14ac:dyDescent="0.25">
      <c r="F918" s="76"/>
    </row>
    <row r="919" spans="6:6" ht="13.2" x14ac:dyDescent="0.25">
      <c r="F919" s="76"/>
    </row>
    <row r="920" spans="6:6" ht="13.2" x14ac:dyDescent="0.25">
      <c r="F920" s="76"/>
    </row>
    <row r="921" spans="6:6" ht="13.2" x14ac:dyDescent="0.25">
      <c r="F921" s="76"/>
    </row>
    <row r="922" spans="6:6" ht="13.2" x14ac:dyDescent="0.25">
      <c r="F922" s="76"/>
    </row>
    <row r="923" spans="6:6" ht="13.2" x14ac:dyDescent="0.25">
      <c r="F923" s="76"/>
    </row>
    <row r="924" spans="6:6" ht="13.2" x14ac:dyDescent="0.25">
      <c r="F924" s="76"/>
    </row>
    <row r="925" spans="6:6" ht="13.2" x14ac:dyDescent="0.25">
      <c r="F925" s="76"/>
    </row>
    <row r="926" spans="6:6" ht="13.2" x14ac:dyDescent="0.25">
      <c r="F926" s="76"/>
    </row>
    <row r="927" spans="6:6" ht="13.2" x14ac:dyDescent="0.25">
      <c r="F927" s="76"/>
    </row>
    <row r="928" spans="6:6" ht="13.2" x14ac:dyDescent="0.25">
      <c r="F928" s="76"/>
    </row>
    <row r="929" spans="6:6" ht="13.2" x14ac:dyDescent="0.25">
      <c r="F929" s="76"/>
    </row>
    <row r="930" spans="6:6" ht="13.2" x14ac:dyDescent="0.25">
      <c r="F930" s="76"/>
    </row>
    <row r="931" spans="6:6" ht="13.2" x14ac:dyDescent="0.25">
      <c r="F931" s="76"/>
    </row>
    <row r="932" spans="6:6" ht="13.2" x14ac:dyDescent="0.25">
      <c r="F932" s="76"/>
    </row>
    <row r="933" spans="6:6" ht="13.2" x14ac:dyDescent="0.25">
      <c r="F933" s="76"/>
    </row>
    <row r="934" spans="6:6" ht="13.2" x14ac:dyDescent="0.25">
      <c r="F934" s="76"/>
    </row>
    <row r="935" spans="6:6" ht="13.2" x14ac:dyDescent="0.25">
      <c r="F935" s="76"/>
    </row>
    <row r="936" spans="6:6" ht="13.2" x14ac:dyDescent="0.25">
      <c r="F936" s="76"/>
    </row>
    <row r="937" spans="6:6" ht="13.2" x14ac:dyDescent="0.25">
      <c r="F937" s="76"/>
    </row>
    <row r="938" spans="6:6" ht="13.2" x14ac:dyDescent="0.25">
      <c r="F938" s="76"/>
    </row>
    <row r="939" spans="6:6" ht="13.2" x14ac:dyDescent="0.25">
      <c r="F939" s="76"/>
    </row>
    <row r="940" spans="6:6" ht="13.2" x14ac:dyDescent="0.25">
      <c r="F940" s="76"/>
    </row>
    <row r="941" spans="6:6" ht="13.2" x14ac:dyDescent="0.25">
      <c r="F941" s="76"/>
    </row>
    <row r="942" spans="6:6" ht="13.2" x14ac:dyDescent="0.25">
      <c r="F942" s="76"/>
    </row>
    <row r="943" spans="6:6" ht="13.2" x14ac:dyDescent="0.25">
      <c r="F943" s="76"/>
    </row>
    <row r="944" spans="6:6" ht="13.2" x14ac:dyDescent="0.25">
      <c r="F944" s="76"/>
    </row>
    <row r="945" spans="6:6" ht="13.2" x14ac:dyDescent="0.25">
      <c r="F945" s="76"/>
    </row>
    <row r="946" spans="6:6" ht="13.2" x14ac:dyDescent="0.25">
      <c r="F946" s="76"/>
    </row>
    <row r="947" spans="6:6" ht="13.2" x14ac:dyDescent="0.25">
      <c r="F947" s="76"/>
    </row>
    <row r="948" spans="6:6" ht="13.2" x14ac:dyDescent="0.25">
      <c r="F948" s="76"/>
    </row>
    <row r="949" spans="6:6" ht="13.2" x14ac:dyDescent="0.25">
      <c r="F949" s="76"/>
    </row>
    <row r="950" spans="6:6" ht="13.2" x14ac:dyDescent="0.25">
      <c r="F950" s="76"/>
    </row>
    <row r="951" spans="6:6" ht="13.2" x14ac:dyDescent="0.25">
      <c r="F951" s="76"/>
    </row>
    <row r="952" spans="6:6" ht="13.2" x14ac:dyDescent="0.25">
      <c r="F952" s="76"/>
    </row>
    <row r="953" spans="6:6" ht="13.2" x14ac:dyDescent="0.25">
      <c r="F953" s="76"/>
    </row>
    <row r="954" spans="6:6" ht="13.2" x14ac:dyDescent="0.25">
      <c r="F954" s="76"/>
    </row>
    <row r="955" spans="6:6" ht="13.2" x14ac:dyDescent="0.25">
      <c r="F955" s="76"/>
    </row>
    <row r="956" spans="6:6" ht="13.2" x14ac:dyDescent="0.25">
      <c r="F956" s="76"/>
    </row>
    <row r="957" spans="6:6" ht="13.2" x14ac:dyDescent="0.25">
      <c r="F957" s="76"/>
    </row>
    <row r="958" spans="6:6" ht="13.2" x14ac:dyDescent="0.25">
      <c r="F958" s="76"/>
    </row>
    <row r="959" spans="6:6" ht="13.2" x14ac:dyDescent="0.25">
      <c r="F959" s="76"/>
    </row>
    <row r="960" spans="6:6" ht="13.2" x14ac:dyDescent="0.25">
      <c r="F960" s="76"/>
    </row>
    <row r="961" spans="6:6" ht="13.2" x14ac:dyDescent="0.25">
      <c r="F961" s="76"/>
    </row>
    <row r="962" spans="6:6" ht="13.2" x14ac:dyDescent="0.25">
      <c r="F962" s="76"/>
    </row>
    <row r="963" spans="6:6" ht="13.2" x14ac:dyDescent="0.25">
      <c r="F963" s="76"/>
    </row>
    <row r="964" spans="6:6" ht="13.2" x14ac:dyDescent="0.25">
      <c r="F964" s="76"/>
    </row>
    <row r="965" spans="6:6" ht="13.2" x14ac:dyDescent="0.25">
      <c r="F965" s="76"/>
    </row>
    <row r="966" spans="6:6" ht="13.2" x14ac:dyDescent="0.25">
      <c r="F966" s="76"/>
    </row>
    <row r="967" spans="6:6" ht="13.2" x14ac:dyDescent="0.25">
      <c r="F967" s="76"/>
    </row>
    <row r="968" spans="6:6" ht="13.2" x14ac:dyDescent="0.25">
      <c r="F968" s="76"/>
    </row>
    <row r="969" spans="6:6" ht="13.2" x14ac:dyDescent="0.25">
      <c r="F969" s="76"/>
    </row>
    <row r="970" spans="6:6" ht="13.2" x14ac:dyDescent="0.25">
      <c r="F970" s="76"/>
    </row>
    <row r="971" spans="6:6" ht="13.2" x14ac:dyDescent="0.25">
      <c r="F971" s="76"/>
    </row>
    <row r="972" spans="6:6" ht="13.2" x14ac:dyDescent="0.25">
      <c r="F972" s="76"/>
    </row>
    <row r="973" spans="6:6" ht="13.2" x14ac:dyDescent="0.25">
      <c r="F973" s="76"/>
    </row>
    <row r="974" spans="6:6" ht="13.2" x14ac:dyDescent="0.25">
      <c r="F974" s="76"/>
    </row>
    <row r="975" spans="6:6" ht="13.2" x14ac:dyDescent="0.25">
      <c r="F975" s="76"/>
    </row>
    <row r="976" spans="6:6" ht="13.2" x14ac:dyDescent="0.25">
      <c r="F976" s="76"/>
    </row>
  </sheetData>
  <phoneticPr fontId="1" type="noConversion"/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AF8B-30EE-4F20-9948-F6F400017E2F}">
  <sheetPr>
    <outlinePr summaryBelow="0" summaryRight="0"/>
  </sheetPr>
  <dimension ref="A1:S29"/>
  <sheetViews>
    <sheetView workbookViewId="0">
      <selection activeCell="B24" sqref="B24"/>
    </sheetView>
  </sheetViews>
  <sheetFormatPr defaultColWidth="12.77734375" defaultRowHeight="15.75" customHeight="1" x14ac:dyDescent="0.25"/>
  <cols>
    <col min="1" max="1" width="6.77734375" style="69" customWidth="1"/>
    <col min="2" max="2" width="15.77734375" style="69" customWidth="1"/>
    <col min="3" max="3" width="7" style="69" customWidth="1"/>
    <col min="4" max="4" width="42.77734375" style="69" customWidth="1"/>
    <col min="5" max="5" width="24" style="69" customWidth="1"/>
    <col min="6" max="6" width="11.21875" style="69" customWidth="1"/>
    <col min="7" max="7" width="6.21875" style="121" customWidth="1"/>
    <col min="8" max="19" width="12.77734375" style="79"/>
    <col min="20" max="16384" width="12.77734375" style="69"/>
  </cols>
  <sheetData>
    <row r="1" spans="1:9" ht="15.75" customHeight="1" x14ac:dyDescent="0.25">
      <c r="A1" s="102" t="s">
        <v>0</v>
      </c>
      <c r="B1" s="103" t="s">
        <v>1</v>
      </c>
      <c r="C1" s="104" t="s">
        <v>2</v>
      </c>
      <c r="D1" s="104" t="s">
        <v>3</v>
      </c>
      <c r="E1" s="104" t="s">
        <v>4</v>
      </c>
      <c r="F1" s="103" t="s">
        <v>5</v>
      </c>
      <c r="G1" s="117" t="s">
        <v>6</v>
      </c>
    </row>
    <row r="2" spans="1:9" ht="13.2" x14ac:dyDescent="0.25">
      <c r="A2" s="105">
        <f ca="1">IFERROR(__xludf.DUMMYFUNCTION("""COMPUTED_VALUE"""),445)</f>
        <v>445</v>
      </c>
      <c r="B2" s="106" t="str">
        <f ca="1">IFERROR(__xludf.DUMMYFUNCTION("""COMPUTED_VALUE"""),"Karnold Adam")</f>
        <v>Karnold Adam</v>
      </c>
      <c r="C2" s="106">
        <f ca="1">IFERROR(__xludf.DUMMYFUNCTION("""COMPUTED_VALUE"""),2016)</f>
        <v>2016</v>
      </c>
      <c r="D2" s="107" t="str">
        <f ca="1">IFERROR(__xludf.DUMMYFUNCTION("""COMPUTED_VALUE"""),"Starší přípravka - HOŠI -  ročník 2015-2016 (600m)")</f>
        <v>Starší přípravka - HOŠI -  ročník 2015-2016 (600m)</v>
      </c>
      <c r="E2" s="106" t="str">
        <f ca="1">IFERROR(__xludf.DUMMYFUNCTION("""COMPUTED_VALUE"""),"AK Škoda Plzeň")</f>
        <v>AK Škoda Plzeň</v>
      </c>
      <c r="F2" s="108">
        <v>8.9583333333333334E-2</v>
      </c>
      <c r="G2" s="118" t="s">
        <v>15</v>
      </c>
      <c r="I2" s="82"/>
    </row>
    <row r="3" spans="1:9" ht="13.2" x14ac:dyDescent="0.25">
      <c r="A3" s="105">
        <f ca="1">IFERROR(__xludf.DUMMYFUNCTION("""COMPUTED_VALUE"""),236)</f>
        <v>236</v>
      </c>
      <c r="B3" s="106" t="str">
        <f ca="1">IFERROR(__xludf.DUMMYFUNCTION("""COMPUTED_VALUE"""),"Němeček Erik")</f>
        <v>Němeček Erik</v>
      </c>
      <c r="C3" s="106">
        <f ca="1">IFERROR(__xludf.DUMMYFUNCTION("""COMPUTED_VALUE"""),2015)</f>
        <v>2015</v>
      </c>
      <c r="D3" s="106" t="str">
        <f ca="1">IFERROR(__xludf.DUMMYFUNCTION("""COMPUTED_VALUE"""),"Starší přípravka - HOŠI -  ročník 2015-2016 (600m)")</f>
        <v>Starší přípravka - HOŠI -  ročník 2015-2016 (600m)</v>
      </c>
      <c r="E3" s="106" t="str">
        <f ca="1">IFERROR(__xludf.DUMMYFUNCTION("""COMPUTED_VALUE"""),"TJ Sokol SG Plzeň-Petřín")</f>
        <v>TJ Sokol SG Plzeň-Petřín</v>
      </c>
      <c r="F3" s="108">
        <v>9.583333333333334E-2</v>
      </c>
      <c r="G3" s="118" t="s">
        <v>16</v>
      </c>
      <c r="I3" s="82"/>
    </row>
    <row r="4" spans="1:9" ht="13.2" x14ac:dyDescent="0.25">
      <c r="A4" s="105">
        <f ca="1">IFERROR(__xludf.DUMMYFUNCTION("""COMPUTED_VALUE"""),213)</f>
        <v>213</v>
      </c>
      <c r="B4" s="106" t="str">
        <f ca="1">IFERROR(__xludf.DUMMYFUNCTION("""COMPUTED_VALUE"""),"Tyrner Vojtěch")</f>
        <v>Tyrner Vojtěch</v>
      </c>
      <c r="C4" s="106">
        <f ca="1">IFERROR(__xludf.DUMMYFUNCTION("""COMPUTED_VALUE"""),2016)</f>
        <v>2016</v>
      </c>
      <c r="D4" s="106" t="str">
        <f ca="1">IFERROR(__xludf.DUMMYFUNCTION("""COMPUTED_VALUE"""),"Starší přípravka - HOŠI -  ročník 2015-2016 (600m)")</f>
        <v>Starší přípravka - HOŠI -  ročník 2015-2016 (600m)</v>
      </c>
      <c r="E4" s="106" t="str">
        <f ca="1">IFERROR(__xludf.DUMMYFUNCTION("""COMPUTED_VALUE"""),"LK Škoda Plzeň")</f>
        <v>LK Škoda Plzeň</v>
      </c>
      <c r="F4" s="108">
        <v>9.583333333333334E-2</v>
      </c>
      <c r="G4" s="118" t="s">
        <v>18</v>
      </c>
      <c r="I4" s="109"/>
    </row>
    <row r="5" spans="1:9" ht="13.2" x14ac:dyDescent="0.25">
      <c r="A5" s="105">
        <f ca="1">IFERROR(__xludf.DUMMYFUNCTION("""COMPUTED_VALUE"""),413)</f>
        <v>413</v>
      </c>
      <c r="B5" s="106" t="str">
        <f ca="1">IFERROR(__xludf.DUMMYFUNCTION("""COMPUTED_VALUE"""),"Jonáš Větrovec")</f>
        <v>Jonáš Větrovec</v>
      </c>
      <c r="C5" s="106">
        <f ca="1">IFERROR(__xludf.DUMMYFUNCTION("""COMPUTED_VALUE"""),2015)</f>
        <v>2015</v>
      </c>
      <c r="D5" s="106" t="str">
        <f ca="1">IFERROR(__xludf.DUMMYFUNCTION("""COMPUTED_VALUE"""),"Starší přípravka - HOŠI -  ročník 2015-2016 (600m)")</f>
        <v>Starší přípravka - HOŠI -  ročník 2015-2016 (600m)</v>
      </c>
      <c r="E5" s="106" t="str">
        <f ca="1">IFERROR(__xludf.DUMMYFUNCTION("""COMPUTED_VALUE"""),"SG Petřín")</f>
        <v>SG Petřín</v>
      </c>
      <c r="F5" s="108">
        <v>0.10138888888888889</v>
      </c>
      <c r="G5" s="118" t="s">
        <v>17</v>
      </c>
      <c r="I5" s="109"/>
    </row>
    <row r="6" spans="1:9" ht="13.2" x14ac:dyDescent="0.25">
      <c r="A6" s="105">
        <f ca="1">IFERROR(__xludf.DUMMYFUNCTION("""COMPUTED_VALUE"""),259)</f>
        <v>259</v>
      </c>
      <c r="B6" s="106" t="str">
        <f ca="1">IFERROR(__xludf.DUMMYFUNCTION("""COMPUTED_VALUE"""),"Vlas Jakub")</f>
        <v>Vlas Jakub</v>
      </c>
      <c r="C6" s="106">
        <f ca="1">IFERROR(__xludf.DUMMYFUNCTION("""COMPUTED_VALUE"""),2016)</f>
        <v>2016</v>
      </c>
      <c r="D6" s="106" t="str">
        <f ca="1">IFERROR(__xludf.DUMMYFUNCTION("""COMPUTED_VALUE"""),"Starší přípravka - HOŠI -  ročník 2015-2016 (600m)")</f>
        <v>Starší přípravka - HOŠI -  ročník 2015-2016 (600m)</v>
      </c>
      <c r="E6" s="106" t="str">
        <f ca="1">IFERROR(__xludf.DUMMYFUNCTION("""COMPUTED_VALUE"""),"Rapid Plzeň")</f>
        <v>Rapid Plzeň</v>
      </c>
      <c r="F6" s="108">
        <v>0.10277777777777777</v>
      </c>
      <c r="G6" s="118" t="s">
        <v>19</v>
      </c>
      <c r="I6" s="109"/>
    </row>
    <row r="7" spans="1:9" ht="13.2" x14ac:dyDescent="0.25">
      <c r="A7" s="105">
        <f ca="1">IFERROR(__xludf.DUMMYFUNCTION("""COMPUTED_VALUE"""),256)</f>
        <v>256</v>
      </c>
      <c r="B7" s="106" t="str">
        <f ca="1">IFERROR(__xludf.DUMMYFUNCTION("""COMPUTED_VALUE"""),"Harbáček Dominik")</f>
        <v>Harbáček Dominik</v>
      </c>
      <c r="C7" s="106">
        <f ca="1">IFERROR(__xludf.DUMMYFUNCTION("""COMPUTED_VALUE"""),2016)</f>
        <v>2016</v>
      </c>
      <c r="D7" s="106" t="str">
        <f ca="1">IFERROR(__xludf.DUMMYFUNCTION("""COMPUTED_VALUE"""),"Starší přípravka - HOŠI -  ročník 2015-2016 (600m)")</f>
        <v>Starší přípravka - HOŠI -  ročník 2015-2016 (600m)</v>
      </c>
      <c r="E7" s="106" t="str">
        <f ca="1">IFERROR(__xludf.DUMMYFUNCTION("""COMPUTED_VALUE"""),"AK Škoda")</f>
        <v>AK Škoda</v>
      </c>
      <c r="F7" s="108">
        <v>0.10277777777777777</v>
      </c>
      <c r="G7" s="118" t="s">
        <v>20</v>
      </c>
      <c r="I7" s="109"/>
    </row>
    <row r="8" spans="1:9" ht="13.2" x14ac:dyDescent="0.25">
      <c r="A8" s="105">
        <f ca="1">IFERROR(__xludf.DUMMYFUNCTION("IFERROR(FILTER('Odpovědi formuláře 1'!B:H, 'Odpovědi formuláře 1'!F:F=""Starší přípravka - HOŠI -  ročník 2015-2016 (600m)""), """")"),415)</f>
        <v>415</v>
      </c>
      <c r="B8" s="106" t="str">
        <f ca="1">IFERROR(__xludf.DUMMYFUNCTION("""COMPUTED_VALUE"""),"Adam Rubáš")</f>
        <v>Adam Rubáš</v>
      </c>
      <c r="C8" s="106">
        <f ca="1">IFERROR(__xludf.DUMMYFUNCTION("""COMPUTED_VALUE"""),2015)</f>
        <v>2015</v>
      </c>
      <c r="D8" s="106" t="str">
        <f ca="1">IFERROR(__xludf.DUMMYFUNCTION("""COMPUTED_VALUE"""),"Starší přípravka - HOŠI -  ročník 2015-2016 (600m)")</f>
        <v>Starší přípravka - HOŠI -  ročník 2015-2016 (600m)</v>
      </c>
      <c r="E8" s="106" t="str">
        <f ca="1">IFERROR(__xludf.DUMMYFUNCTION("""COMPUTED_VALUE"""),"Aktiv Horšovský Týn")</f>
        <v>Aktiv Horšovský Týn</v>
      </c>
      <c r="F8" s="108">
        <v>0.10416666666666667</v>
      </c>
      <c r="G8" s="118" t="s">
        <v>21</v>
      </c>
      <c r="I8" s="109"/>
    </row>
    <row r="9" spans="1:9" ht="13.2" x14ac:dyDescent="0.25">
      <c r="A9" s="110">
        <f ca="1">IFERROR(__xludf.DUMMYFUNCTION("""COMPUTED_VALUE"""),182)</f>
        <v>182</v>
      </c>
      <c r="B9" s="107" t="str">
        <f ca="1">IFERROR(__xludf.DUMMYFUNCTION("""COMPUTED_VALUE"""),"Votýpka Petr")</f>
        <v>Votýpka Petr</v>
      </c>
      <c r="C9" s="107">
        <f ca="1">IFERROR(__xludf.DUMMYFUNCTION("""COMPUTED_VALUE"""),2016)</f>
        <v>2016</v>
      </c>
      <c r="D9" s="107" t="str">
        <f ca="1">IFERROR(__xludf.DUMMYFUNCTION("""COMPUTED_VALUE"""),"Starší přípravka - HOŠI -  ročník 2015-2016 (600m)")</f>
        <v>Starší přípravka - HOŠI -  ročník 2015-2016 (600m)</v>
      </c>
      <c r="E9" s="107"/>
      <c r="F9" s="108">
        <v>0.10555555555555556</v>
      </c>
      <c r="G9" s="118" t="s">
        <v>22</v>
      </c>
      <c r="I9" s="82"/>
    </row>
    <row r="10" spans="1:9" ht="13.2" x14ac:dyDescent="0.25">
      <c r="A10" s="110">
        <f ca="1">IFERROR(__xludf.DUMMYFUNCTION("""COMPUTED_VALUE"""),442)</f>
        <v>442</v>
      </c>
      <c r="B10" s="107" t="str">
        <f ca="1">IFERROR(__xludf.DUMMYFUNCTION("""COMPUTED_VALUE"""),"Šolc Antonín Jiří")</f>
        <v>Šolc Antonín Jiří</v>
      </c>
      <c r="C10" s="107">
        <f ca="1">IFERROR(__xludf.DUMMYFUNCTION("""COMPUTED_VALUE"""),2016)</f>
        <v>2016</v>
      </c>
      <c r="D10" s="107" t="str">
        <f ca="1">IFERROR(__xludf.DUMMYFUNCTION("""COMPUTED_VALUE"""),"Starší přípravka - HOŠI -  ročník 2015-2016 (600m)")</f>
        <v>Starší přípravka - HOŠI -  ročník 2015-2016 (600m)</v>
      </c>
      <c r="E10" s="107" t="str">
        <f ca="1">IFERROR(__xludf.DUMMYFUNCTION("""COMPUTED_VALUE"""),"SG Petřín")</f>
        <v>SG Petřín</v>
      </c>
      <c r="F10" s="111">
        <v>0.10555555555555556</v>
      </c>
      <c r="G10" s="118" t="s">
        <v>23</v>
      </c>
      <c r="I10" s="82"/>
    </row>
    <row r="11" spans="1:9" ht="13.2" x14ac:dyDescent="0.25">
      <c r="A11" s="110">
        <f ca="1">IFERROR(__xludf.DUMMYFUNCTION("""COMPUTED_VALUE"""),131)</f>
        <v>131</v>
      </c>
      <c r="B11" s="107" t="str">
        <f ca="1">IFERROR(__xludf.DUMMYFUNCTION("""COMPUTED_VALUE"""),"Tomáš Stelzer")</f>
        <v>Tomáš Stelzer</v>
      </c>
      <c r="C11" s="107">
        <f ca="1">IFERROR(__xludf.DUMMYFUNCTION("""COMPUTED_VALUE"""),2015)</f>
        <v>2015</v>
      </c>
      <c r="D11" s="107" t="str">
        <f ca="1">IFERROR(__xludf.DUMMYFUNCTION("""COMPUTED_VALUE"""),"Starší přípravka - HOŠI -  ročník 2015-2016 (600m)")</f>
        <v>Starší přípravka - HOŠI -  ročník 2015-2016 (600m)</v>
      </c>
      <c r="E11" s="107" t="s">
        <v>39</v>
      </c>
      <c r="F11" s="112">
        <v>0.10625</v>
      </c>
      <c r="G11" s="118" t="s">
        <v>24</v>
      </c>
      <c r="I11" s="82"/>
    </row>
    <row r="12" spans="1:9" ht="13.2" x14ac:dyDescent="0.25">
      <c r="A12" s="105">
        <f ca="1">IFERROR(__xludf.DUMMYFUNCTION("""COMPUTED_VALUE"""),400)</f>
        <v>400</v>
      </c>
      <c r="B12" s="106" t="str">
        <f ca="1">IFERROR(__xludf.DUMMYFUNCTION("""COMPUTED_VALUE"""),"Kuba Vaněk")</f>
        <v>Kuba Vaněk</v>
      </c>
      <c r="C12" s="106">
        <f ca="1">IFERROR(__xludf.DUMMYFUNCTION("""COMPUTED_VALUE"""),2015)</f>
        <v>2015</v>
      </c>
      <c r="D12" s="106" t="str">
        <f ca="1">IFERROR(__xludf.DUMMYFUNCTION("""COMPUTED_VALUE"""),"Starší přípravka - HOŠI -  ročník 2015-2016 (600m)")</f>
        <v>Starší přípravka - HOŠI -  ročník 2015-2016 (600m)</v>
      </c>
      <c r="E12" s="106" t="str">
        <f ca="1">IFERROR(__xludf.DUMMYFUNCTION("""COMPUTED_VALUE"""),"Biatlon Litice")</f>
        <v>Biatlon Litice</v>
      </c>
      <c r="F12" s="108">
        <v>0.10833333333333334</v>
      </c>
      <c r="G12" s="118" t="s">
        <v>25</v>
      </c>
      <c r="I12" s="82"/>
    </row>
    <row r="13" spans="1:9" ht="13.2" x14ac:dyDescent="0.25">
      <c r="A13" s="105">
        <f ca="1">IFERROR(__xludf.DUMMYFUNCTION("""COMPUTED_VALUE"""),260)</f>
        <v>260</v>
      </c>
      <c r="B13" s="106" t="str">
        <f ca="1">IFERROR(__xludf.DUMMYFUNCTION("""COMPUTED_VALUE"""),"Benedikt Leonard")</f>
        <v>Benedikt Leonard</v>
      </c>
      <c r="C13" s="106">
        <f ca="1">IFERROR(__xludf.DUMMYFUNCTION("""COMPUTED_VALUE"""),2016)</f>
        <v>2016</v>
      </c>
      <c r="D13" s="106" t="str">
        <f ca="1">IFERROR(__xludf.DUMMYFUNCTION("""COMPUTED_VALUE"""),"Starší přípravka - HOŠI -  ročník 2015-2016 (600m)")</f>
        <v>Starší přípravka - HOŠI -  ročník 2015-2016 (600m)</v>
      </c>
      <c r="E13" s="106" t="str">
        <f ca="1">IFERROR(__xludf.DUMMYFUNCTION("""COMPUTED_VALUE"""),"TJ Sokol SG Plzeň - Petřín")</f>
        <v>TJ Sokol SG Plzeň - Petřín</v>
      </c>
      <c r="F13" s="108">
        <v>0.1111111111111111</v>
      </c>
      <c r="G13" s="118" t="s">
        <v>26</v>
      </c>
      <c r="I13" s="82"/>
    </row>
    <row r="14" spans="1:9" ht="13.2" x14ac:dyDescent="0.25">
      <c r="A14" s="105">
        <f ca="1">IFERROR(__xludf.DUMMYFUNCTION("""COMPUTED_VALUE"""),264)</f>
        <v>264</v>
      </c>
      <c r="B14" s="106" t="str">
        <f ca="1">IFERROR(__xludf.DUMMYFUNCTION("""COMPUTED_VALUE"""),"Tvrz Ondřej")</f>
        <v>Tvrz Ondřej</v>
      </c>
      <c r="C14" s="106">
        <f ca="1">IFERROR(__xludf.DUMMYFUNCTION("""COMPUTED_VALUE"""),2016)</f>
        <v>2016</v>
      </c>
      <c r="D14" s="106" t="str">
        <f ca="1">IFERROR(__xludf.DUMMYFUNCTION("""COMPUTED_VALUE"""),"Starší přípravka - HOŠI -  ročník 2015-2016 (600m)")</f>
        <v>Starší přípravka - HOŠI -  ročník 2015-2016 (600m)</v>
      </c>
      <c r="E14" s="106" t="str">
        <f ca="1">IFERROR(__xludf.DUMMYFUNCTION("""COMPUTED_VALUE"""),"TJ Sokol SG Plzeň - Petřín")</f>
        <v>TJ Sokol SG Plzeň - Petřín</v>
      </c>
      <c r="F14" s="108">
        <v>0.11180555555555556</v>
      </c>
      <c r="G14" s="118" t="s">
        <v>27</v>
      </c>
      <c r="I14" s="109"/>
    </row>
    <row r="15" spans="1:9" ht="13.2" x14ac:dyDescent="0.25">
      <c r="A15" s="105">
        <f ca="1">IFERROR(__xludf.DUMMYFUNCTION("""COMPUTED_VALUE"""),152)</f>
        <v>152</v>
      </c>
      <c r="B15" s="106" t="str">
        <f ca="1">IFERROR(__xludf.DUMMYFUNCTION("""COMPUTED_VALUE"""),"Petr Benedikt")</f>
        <v>Petr Benedikt</v>
      </c>
      <c r="C15" s="106">
        <f ca="1">IFERROR(__xludf.DUMMYFUNCTION("""COMPUTED_VALUE"""),2016)</f>
        <v>2016</v>
      </c>
      <c r="D15" s="106" t="str">
        <f ca="1">IFERROR(__xludf.DUMMYFUNCTION("""COMPUTED_VALUE"""),"Starší přípravka - HOŠI -  ročník 2015-2016 (600m)")</f>
        <v>Starší přípravka - HOŠI -  ročník 2015-2016 (600m)</v>
      </c>
      <c r="E15" s="106"/>
      <c r="F15" s="108">
        <v>0.11805555555555555</v>
      </c>
      <c r="G15" s="118" t="s">
        <v>28</v>
      </c>
      <c r="I15" s="82"/>
    </row>
    <row r="16" spans="1:9" ht="13.2" x14ac:dyDescent="0.25">
      <c r="A16" s="105">
        <f ca="1">IFERROR(__xludf.DUMMYFUNCTION("""COMPUTED_VALUE"""),244)</f>
        <v>244</v>
      </c>
      <c r="B16" s="106" t="str">
        <f ca="1">IFERROR(__xludf.DUMMYFUNCTION("""COMPUTED_VALUE"""),"Barnáš Vojtěch")</f>
        <v>Barnáš Vojtěch</v>
      </c>
      <c r="C16" s="106">
        <f ca="1">IFERROR(__xludf.DUMMYFUNCTION("""COMPUTED_VALUE"""),2015)</f>
        <v>2015</v>
      </c>
      <c r="D16" s="106" t="str">
        <f ca="1">IFERROR(__xludf.DUMMYFUNCTION("""COMPUTED_VALUE"""),"Starší přípravka - HOŠI -  ročník 2015-2016 (600m)")</f>
        <v>Starší přípravka - HOŠI -  ročník 2015-2016 (600m)</v>
      </c>
      <c r="E16" s="106" t="str">
        <f ca="1">IFERROR(__xludf.DUMMYFUNCTION("""COMPUTED_VALUE"""),"Petřín")</f>
        <v>Petřín</v>
      </c>
      <c r="F16" s="108">
        <v>0.11874999999999999</v>
      </c>
      <c r="G16" s="118" t="s">
        <v>29</v>
      </c>
      <c r="I16" s="82"/>
    </row>
    <row r="17" spans="1:14" ht="13.2" x14ac:dyDescent="0.25">
      <c r="A17" s="105">
        <f ca="1">IFERROR(__xludf.DUMMYFUNCTION("""COMPUTED_VALUE"""),148)</f>
        <v>148</v>
      </c>
      <c r="B17" s="106" t="str">
        <f ca="1">IFERROR(__xludf.DUMMYFUNCTION("""COMPUTED_VALUE"""),"Kopp Vendelín")</f>
        <v>Kopp Vendelín</v>
      </c>
      <c r="C17" s="106">
        <f ca="1">IFERROR(__xludf.DUMMYFUNCTION("""COMPUTED_VALUE"""),2016)</f>
        <v>2016</v>
      </c>
      <c r="D17" s="107" t="str">
        <f ca="1">IFERROR(__xludf.DUMMYFUNCTION("""COMPUTED_VALUE"""),"Starší přípravka - HOŠI -  ročník 2015-2016 (600m)")</f>
        <v>Starší přípravka - HOŠI -  ročník 2015-2016 (600m)</v>
      </c>
      <c r="E17" s="106" t="str">
        <f ca="1">IFERROR(__xludf.DUMMYFUNCTION("""COMPUTED_VALUE"""),"TJ Sokol SG Plzeň - Petřín")</f>
        <v>TJ Sokol SG Plzeň - Petřín</v>
      </c>
      <c r="F17" s="108">
        <v>0.11874999999999999</v>
      </c>
      <c r="G17" s="118" t="s">
        <v>30</v>
      </c>
      <c r="I17" s="82"/>
    </row>
    <row r="18" spans="1:14" ht="13.2" x14ac:dyDescent="0.25">
      <c r="A18" s="105">
        <f ca="1">IFERROR(__xludf.DUMMYFUNCTION("""COMPUTED_VALUE"""),255)</f>
        <v>255</v>
      </c>
      <c r="B18" s="106" t="str">
        <f ca="1">IFERROR(__xludf.DUMMYFUNCTION("""COMPUTED_VALUE"""),"Berkovec Ondřej")</f>
        <v>Berkovec Ondřej</v>
      </c>
      <c r="C18" s="106">
        <f ca="1">IFERROR(__xludf.DUMMYFUNCTION("""COMPUTED_VALUE"""),2016)</f>
        <v>2016</v>
      </c>
      <c r="D18" s="107" t="str">
        <f ca="1">IFERROR(__xludf.DUMMYFUNCTION("""COMPUTED_VALUE"""),"Starší přípravka - HOŠI -  ročník 2015-2016 (600m)")</f>
        <v>Starší přípravka - HOŠI -  ročník 2015-2016 (600m)</v>
      </c>
      <c r="E18" s="106"/>
      <c r="F18" s="108">
        <v>0.125</v>
      </c>
      <c r="G18" s="118" t="s">
        <v>31</v>
      </c>
      <c r="I18" s="82"/>
    </row>
    <row r="19" spans="1:14" ht="13.2" x14ac:dyDescent="0.25">
      <c r="A19" s="105">
        <f ca="1">IFERROR(__xludf.DUMMYFUNCTION("""COMPUTED_VALUE"""),263)</f>
        <v>263</v>
      </c>
      <c r="B19" s="106" t="str">
        <f ca="1">IFERROR(__xludf.DUMMYFUNCTION("""COMPUTED_VALUE"""),"Šmíd Sam")</f>
        <v>Šmíd Sam</v>
      </c>
      <c r="C19" s="106">
        <f ca="1">IFERROR(__xludf.DUMMYFUNCTION("""COMPUTED_VALUE"""),2016)</f>
        <v>2016</v>
      </c>
      <c r="D19" s="106" t="str">
        <f ca="1">IFERROR(__xludf.DUMMYFUNCTION("""COMPUTED_VALUE"""),"Starší přípravka - HOŠI -  ročník 2015-2016 (600m)")</f>
        <v>Starší přípravka - HOŠI -  ročník 2015-2016 (600m)</v>
      </c>
      <c r="E19" s="106" t="str">
        <f ca="1">IFERROR(__xludf.DUMMYFUNCTION("""COMPUTED_VALUE"""),"PH Litice")</f>
        <v>PH Litice</v>
      </c>
      <c r="F19" s="108">
        <v>0.1388888888888889</v>
      </c>
      <c r="G19" s="118" t="s">
        <v>32</v>
      </c>
      <c r="I19" s="82"/>
    </row>
    <row r="20" spans="1:14" ht="13.8" thickBot="1" x14ac:dyDescent="0.3">
      <c r="A20" s="113">
        <f ca="1">IFERROR(__xludf.DUMMYFUNCTION("""COMPUTED_VALUE"""),441)</f>
        <v>441</v>
      </c>
      <c r="B20" s="114" t="str">
        <f ca="1">IFERROR(__xludf.DUMMYFUNCTION("""COMPUTED_VALUE"""),"Simon Štrobl")</f>
        <v>Simon Štrobl</v>
      </c>
      <c r="C20" s="114">
        <f ca="1">IFERROR(__xludf.DUMMYFUNCTION("""COMPUTED_VALUE"""),2015)</f>
        <v>2015</v>
      </c>
      <c r="D20" s="115" t="str">
        <f ca="1">IFERROR(__xludf.DUMMYFUNCTION("""COMPUTED_VALUE"""),"Starší přípravka - HOŠI -  ročník 2015-2016 (600m)")</f>
        <v>Starší přípravka - HOŠI -  ročník 2015-2016 (600m)</v>
      </c>
      <c r="E20" s="114" t="str">
        <f ca="1">IFERROR(__xludf.DUMMYFUNCTION("""COMPUTED_VALUE"""),"PH Litice")</f>
        <v>PH Litice</v>
      </c>
      <c r="F20" s="116">
        <v>0.19305555555555556</v>
      </c>
      <c r="G20" s="118" t="s">
        <v>33</v>
      </c>
      <c r="I20" s="82"/>
    </row>
    <row r="21" spans="1:14" ht="13.2" x14ac:dyDescent="0.25">
      <c r="A21" s="80"/>
      <c r="B21" s="80"/>
      <c r="C21" s="80"/>
      <c r="D21" s="80"/>
      <c r="E21" s="80"/>
      <c r="F21" s="109"/>
      <c r="G21" s="119"/>
      <c r="I21" s="82"/>
    </row>
    <row r="22" spans="1:14" ht="13.2" x14ac:dyDescent="0.25">
      <c r="A22" s="80"/>
      <c r="B22" s="80"/>
      <c r="C22" s="80"/>
      <c r="D22" s="80"/>
      <c r="E22" s="80"/>
      <c r="F22" s="109"/>
      <c r="G22" s="119"/>
      <c r="I22" s="82"/>
    </row>
    <row r="23" spans="1:14" ht="13.2" x14ac:dyDescent="0.25">
      <c r="A23" s="80"/>
      <c r="B23" s="80"/>
      <c r="C23" s="80"/>
      <c r="D23" s="80"/>
      <c r="E23" s="80"/>
      <c r="F23" s="109"/>
      <c r="G23" s="119"/>
      <c r="I23" s="82"/>
    </row>
    <row r="24" spans="1:14" ht="13.2" x14ac:dyDescent="0.25">
      <c r="A24" s="80"/>
      <c r="B24" s="80"/>
      <c r="C24" s="80"/>
      <c r="D24" s="80"/>
      <c r="E24" s="80"/>
      <c r="F24" s="109"/>
      <c r="G24" s="119"/>
      <c r="I24" s="109"/>
    </row>
    <row r="25" spans="1:14" ht="13.2" x14ac:dyDescent="0.25">
      <c r="A25" s="80"/>
      <c r="B25" s="80"/>
      <c r="C25" s="80"/>
      <c r="D25" s="80"/>
      <c r="E25" s="80"/>
      <c r="F25" s="109"/>
      <c r="G25" s="119"/>
      <c r="I25" s="82"/>
    </row>
    <row r="26" spans="1:14" ht="13.2" x14ac:dyDescent="0.25">
      <c r="A26" s="80"/>
      <c r="B26" s="80"/>
      <c r="C26" s="80"/>
      <c r="D26" s="80"/>
      <c r="E26" s="80"/>
      <c r="F26" s="109"/>
      <c r="G26" s="119"/>
      <c r="I26" s="109"/>
    </row>
    <row r="27" spans="1:14" ht="13.2" x14ac:dyDescent="0.25">
      <c r="A27" s="79"/>
      <c r="B27" s="79"/>
      <c r="C27" s="79"/>
      <c r="D27" s="79"/>
      <c r="E27" s="79"/>
      <c r="F27" s="109"/>
      <c r="G27" s="120"/>
      <c r="I27" s="83"/>
      <c r="J27" s="80"/>
      <c r="K27" s="80"/>
      <c r="L27" s="83"/>
      <c r="M27" s="80"/>
      <c r="N27" s="80"/>
    </row>
    <row r="28" spans="1:14" ht="13.2" x14ac:dyDescent="0.25">
      <c r="A28" s="79"/>
      <c r="B28" s="79"/>
      <c r="C28" s="79"/>
      <c r="D28" s="79"/>
      <c r="E28" s="79"/>
      <c r="F28" s="109"/>
      <c r="G28" s="120"/>
      <c r="I28" s="83"/>
      <c r="J28" s="80"/>
      <c r="K28" s="80"/>
      <c r="L28" s="83"/>
      <c r="M28" s="80"/>
      <c r="N28" s="80"/>
    </row>
    <row r="29" spans="1:14" ht="13.2" x14ac:dyDescent="0.25">
      <c r="I29" s="80"/>
      <c r="J29" s="80"/>
      <c r="K29" s="80"/>
      <c r="L29" s="80"/>
      <c r="M29" s="80"/>
      <c r="N29" s="80"/>
    </row>
  </sheetData>
  <phoneticPr fontId="2" type="noConversion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Kopie listu 2006 a st. dospělí </vt:lpstr>
      <vt:lpstr>Kopie listu 2007-2008 junioři -</vt:lpstr>
      <vt:lpstr>Kopie listu 2009-2010 dorostenc</vt:lpstr>
      <vt:lpstr>Kopie listu 2009-2010 dorostenk</vt:lpstr>
      <vt:lpstr>Kopie listu 2011-2012 str.žc. -</vt:lpstr>
      <vt:lpstr>Kopie listu 2011-2012 str.žk. -</vt:lpstr>
      <vt:lpstr>Kopie listu 2013-2014 ml.žc. - </vt:lpstr>
      <vt:lpstr>Kopie listu 2013-2014 ml.žk. - </vt:lpstr>
      <vt:lpstr>Kopie listu 2015-2016 st.př.hoš</vt:lpstr>
      <vt:lpstr>Kopie listu 2015-2016 st.př.dív</vt:lpstr>
      <vt:lpstr>Kopie listu 2017-2018 př.hoši -</vt:lpstr>
      <vt:lpstr>Kopie listu 2017-2018 př.dívky </vt:lpstr>
      <vt:lpstr>Kopie listu hoši 2019 a ml. - O</vt:lpstr>
      <vt:lpstr>Kopie listu dívky 2019 a ml.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Frost</dc:creator>
  <cp:lastModifiedBy>Kateřina Maršálková</cp:lastModifiedBy>
  <cp:lastPrinted>2026-04-19T16:01:59Z</cp:lastPrinted>
  <dcterms:created xsi:type="dcterms:W3CDTF">2026-04-17T05:14:13Z</dcterms:created>
  <dcterms:modified xsi:type="dcterms:W3CDTF">2026-04-26T10:11:38Z</dcterms:modified>
</cp:coreProperties>
</file>